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drawings/drawing4.xml" ContentType="application/vnd.openxmlformats-officedocument.drawing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_rels/.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 showHorizontalScroll="true" showVerticalScroll="true" showSheetTabs="true"/>
  </bookViews>
  <sheets>
    <sheet name="Krycí list rozpočtu" sheetId="1" r:id="rId1"/>
    <sheet name="VORN" sheetId="2" state="hidden" r:id="rId2"/>
    <sheet name="Rozpočet - podskupiny" sheetId="3" r:id="rId3"/>
    <sheet name="Stavební rozpočet" sheetId="4" r:id="rId4"/>
  </sheets>
  <definedNames>
    <definedName name="vorn_sum">VORN!$I$45</definedName>
  </definedNames>
  <calcPr refMode="A1"/>
</workbook>
</file>

<file path=xl/sharedStrings.xml><?xml version="1.0" encoding="utf-8"?>
<sst xmlns="http://schemas.openxmlformats.org/spreadsheetml/2006/main" count="259" uniqueCount="259">
  <si>
    <t>Krycí list slepého rozpočtu</t>
  </si>
  <si>
    <t>Název stavby:</t>
  </si>
  <si>
    <t>Objednatel:</t>
  </si>
  <si>
    <t>IČO/DIČ:</t>
  </si>
  <si>
    <t/>
  </si>
  <si>
    <t>Druh stavby:</t>
  </si>
  <si>
    <t>Projektant:</t>
  </si>
  <si>
    <t>Lokalita:</t>
  </si>
  <si>
    <t>Zhotovitel:</t>
  </si>
  <si>
    <t>Začátek výstavby:</t>
  </si>
  <si>
    <t>Konec výstavby:</t>
  </si>
  <si>
    <t>Položek:</t>
  </si>
  <si>
    <t>JKSO:</t>
  </si>
  <si>
    <t>Zpracoval: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</si>
  <si>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</si>
  <si>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</si>
  <si>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</si>
  <si>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</si>
  <si>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</si>
  <si>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</si>
  <si>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</si>
  <si>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</si>
  <si>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</si>
  <si>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</si>
  <si>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</si>
  <si>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</si>
  <si>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</si>
  <si>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</si>
  <si>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</si>
  <si>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</si>
  <si>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</si>
  <si>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</si>
  <si>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</si>
  <si>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</si>
  <si>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</si>
  <si>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</si>
  <si>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</si>
  <si>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</si>
  <si>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</si>
  <si>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</si>
  <si>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</si>
  <si>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</si>
  <si>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</si>
  <si>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</si>
  <si>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</si>
  <si>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</si>
  <si>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</si>
  <si>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</si>
  <si>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</si>
  <si>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</si>
  <si>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</si>
  <si>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</si>
  <si>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</si>
  <si>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</si>
  <si>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</si>
  <si>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</si>
  <si>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Poznámka: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</si>
  <si>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</si>
  <si>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</si>
  <si>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</si>
  <si>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</si>
  <si>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</si>
  <si>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</si>
  <si>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</si>
  <si>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</si>
  <si>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</si>
  <si>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Vedlejší a ostatní rozpočtové náklady VORN</t>
  </si>
  <si>
    <t>Ostatní rozpočtové náklady (VORN)</t>
  </si>
  <si>
    <t>Průzkumy, geodetické a projektové práce</t>
  </si>
  <si>
    <t>Příprava staveniště</t>
  </si>
  <si>
    <t>Inženýrské činnosti</t>
  </si>
  <si>
    <t>Finanční náklady</t>
  </si>
  <si>
    <t>Náklady na pracovníky</t>
  </si>
  <si>
    <t>Ostatní náklady</t>
  </si>
  <si>
    <t>Vlastní VORN</t>
  </si>
  <si>
    <t>Celkem VORN</t>
  </si>
  <si>
    <t>Slepý stavební rozpočet - Jen podskupiny</t>
  </si>
  <si>
    <t>Doba výstavby:</t>
  </si>
  <si>
    <t>Zpracováno dne:</t>
  </si>
  <si>
    <t xml:space="preserve"> </t>
  </si>
  <si>
    <t>Náklady (Kč)</t>
  </si>
  <si>
    <t>Kód</t>
  </si>
  <si>
    <t>Zkrácený popis</t>
  </si>
  <si>
    <t>Dodávka</t>
  </si>
  <si>
    <t>Celkem</t>
  </si>
  <si>
    <t>Nezařazeno</t>
  </si>
  <si>
    <t>F</t>
  </si>
  <si>
    <t>000</t>
  </si>
  <si>
    <t>Neuznatelné náklady</t>
  </si>
  <si>
    <t>T</t>
  </si>
  <si>
    <t>733</t>
  </si>
  <si>
    <t>Rozvod potrubí</t>
  </si>
  <si>
    <t>734</t>
  </si>
  <si>
    <t>Armatury</t>
  </si>
  <si>
    <t>735</t>
  </si>
  <si>
    <t>Otopná tělesa</t>
  </si>
  <si>
    <t>767</t>
  </si>
  <si>
    <t>Konstrukce doplňkové stavební (zámečnické)</t>
  </si>
  <si>
    <t>783</t>
  </si>
  <si>
    <t>Nátěry</t>
  </si>
  <si>
    <t>VORN</t>
  </si>
  <si>
    <t>09VRN</t>
  </si>
  <si>
    <t>Celkem:</t>
  </si>
  <si>
    <t>Slepý stavební rozpočet</t>
  </si>
  <si>
    <t>Zpřístupnění objektu a dobudování bezbariérového ubytování na kolejích MU Kounicova</t>
  </si>
  <si>
    <t>Masarykova univerzita, Žerotínovo náměstí 617/9, 6</t>
  </si>
  <si>
    <t>D.1.4_c VYTÁPĚNÍ</t>
  </si>
  <si>
    <t> </t>
  </si>
  <si>
    <t>Brno [582786]; k.ú.: Ponava [611379], parcely č.: 891, Kounicova 507/50, 602 00 Brno</t>
  </si>
  <si>
    <t>24.07.2024</t>
  </si>
  <si>
    <t>Č</t>
  </si>
  <si>
    <t>Zkrácený popis / Varianta</t>
  </si>
  <si>
    <t>MJ</t>
  </si>
  <si>
    <t>Množství</t>
  </si>
  <si>
    <t>Cena/MJ</t>
  </si>
  <si>
    <t>Cenová</t>
  </si>
  <si>
    <t>ISWORK</t>
  </si>
  <si>
    <t>GROUPCODE</t>
  </si>
  <si>
    <t>VATTAX</t>
  </si>
  <si>
    <t>Rozměry</t>
  </si>
  <si>
    <t>(Kč)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</si>
  <si>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</si>
  <si>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</si>
  <si>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</si>
  <si>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</si>
  <si>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</si>
  <si>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</si>
  <si>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</si>
  <si>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</si>
  <si>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</si>
  <si>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</si>
  <si>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</si>
  <si>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</si>
  <si>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</si>
  <si>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>1</t>
  </si>
  <si>
    <t>733110806R00</t>
  </si>
  <si>
    <t>Demontáž potrubí ocelového závitového do DN 15-32</t>
  </si>
  <si>
    <t>m</t>
  </si>
  <si>
    <t>RTS I / 2024</t>
  </si>
  <si>
    <t>000_</t>
  </si>
  <si>
    <t>_0_</t>
  </si>
  <si>
    <t>_</t>
  </si>
  <si>
    <t>2</t>
  </si>
  <si>
    <t>783424340R00</t>
  </si>
  <si>
    <t>Nátěr syntet. potrubí do DN 50 mm  Z+2x +1x email</t>
  </si>
  <si>
    <t>3</t>
  </si>
  <si>
    <t>767995101R00</t>
  </si>
  <si>
    <t>Dodávka a montáž kov. atypických konstr. do 5 kg - konzoly, objímky a závěsy potrubí, vč.povrchové úpravy</t>
  </si>
  <si>
    <t>kg</t>
  </si>
  <si>
    <t>4</t>
  </si>
  <si>
    <t>733111103R00</t>
  </si>
  <si>
    <t>Potrubí závitové bezešvé běžné nízkotlaké DN 15</t>
  </si>
  <si>
    <t>5</t>
  </si>
  <si>
    <t>733190106R00</t>
  </si>
  <si>
    <t>Tlaková zkouška potrubí  DN 32</t>
  </si>
  <si>
    <t>6</t>
  </si>
  <si>
    <t>733113113R00</t>
  </si>
  <si>
    <t>Příplatek za zhotovení přípojky DN 15</t>
  </si>
  <si>
    <t>kus</t>
  </si>
  <si>
    <t>7</t>
  </si>
  <si>
    <t>734200821R00</t>
  </si>
  <si>
    <t>Demontáž armatur se 2závity do G 1/2</t>
  </si>
  <si>
    <t>8</t>
  </si>
  <si>
    <t>5513730620</t>
  </si>
  <si>
    <t>Hlavice termostatická pro veřejní prostory</t>
  </si>
  <si>
    <t>9</t>
  </si>
  <si>
    <t>734266422R00</t>
  </si>
  <si>
    <t>Šroubení uz.dvoutr.s vyp.přímé, DN15</t>
  </si>
  <si>
    <t>10</t>
  </si>
  <si>
    <t>735111810R00</t>
  </si>
  <si>
    <t>Demontáž těles otopných litinových článkových</t>
  </si>
  <si>
    <t>m2</t>
  </si>
  <si>
    <t>11</t>
  </si>
  <si>
    <t>735157642R00</t>
  </si>
  <si>
    <t>Otopné těleso panelové Radik Ventil Kompakt 22, v. 500 mm, dl. 600 mm</t>
  </si>
  <si>
    <t>12</t>
  </si>
  <si>
    <t>733_</t>
  </si>
  <si>
    <t>_73_</t>
  </si>
  <si>
    <t>13</t>
  </si>
  <si>
    <t>14</t>
  </si>
  <si>
    <t>733111104R00</t>
  </si>
  <si>
    <t>Potrubí závitové bezešvé běžné nízkotlaké DN 20</t>
  </si>
  <si>
    <t>15</t>
  </si>
  <si>
    <t>16</t>
  </si>
  <si>
    <t>733113114R00</t>
  </si>
  <si>
    <t>Příplatek za zhotovení přípojky DN 20</t>
  </si>
  <si>
    <t>17</t>
  </si>
  <si>
    <t>733191913R00</t>
  </si>
  <si>
    <t>Zaslepení potrubí zkováním a zavařením DN 15</t>
  </si>
  <si>
    <t>18</t>
  </si>
  <si>
    <t>19</t>
  </si>
  <si>
    <t>998733204R00</t>
  </si>
  <si>
    <t>Přesun hmot pro rozvody potrubí, výšky do 36 m</t>
  </si>
  <si>
    <t>20</t>
  </si>
  <si>
    <t>734_</t>
  </si>
  <si>
    <t>21</t>
  </si>
  <si>
    <t>22</t>
  </si>
  <si>
    <t>734223122R00</t>
  </si>
  <si>
    <t>Ventil termostatický, přímý, DN 15</t>
  </si>
  <si>
    <t>23</t>
  </si>
  <si>
    <t>734263132R00</t>
  </si>
  <si>
    <t>Šroubení regulační, přímé, DN 15</t>
  </si>
  <si>
    <t>24</t>
  </si>
  <si>
    <t>25</t>
  </si>
  <si>
    <t>998734204R00</t>
  </si>
  <si>
    <t>Přesun hmot pro armatury, výšky do 36 m</t>
  </si>
  <si>
    <t>26</t>
  </si>
  <si>
    <t>735_</t>
  </si>
  <si>
    <t>27</t>
  </si>
  <si>
    <t>735151821R00</t>
  </si>
  <si>
    <t>Demontáž otopných těles panelových dvouřadých, délky do 1500 mm</t>
  </si>
  <si>
    <t>28</t>
  </si>
  <si>
    <t>735156646R00</t>
  </si>
  <si>
    <t>Otopné těleso panelové Radik Klasik 22, v. 500 mm, dl. 1000 mm</t>
  </si>
  <si>
    <t>29</t>
  </si>
  <si>
    <t>735156664R00</t>
  </si>
  <si>
    <t>Otopné těleso panelové Radik Klasik 22, v. 600 mm, dl. 800 mm</t>
  </si>
  <si>
    <t>30</t>
  </si>
  <si>
    <t>735157645R00</t>
  </si>
  <si>
    <t>Otopné těleso panelové Radik Ventil Kompakt 22, v. 500 mm, dl. 900 mm</t>
  </si>
  <si>
    <t>31</t>
  </si>
  <si>
    <t>735157646R00</t>
  </si>
  <si>
    <t>Otopné těleso panelové Radik Ventil Kompakt 22, v. 500 mm, dl. 1000 mm</t>
  </si>
  <si>
    <t>32</t>
  </si>
  <si>
    <t>735157648R00</t>
  </si>
  <si>
    <t>Otopné těleso panelové Radik Ventil Kompakt 22, v. 500 mm, dl. 1200 mm</t>
  </si>
  <si>
    <t>33</t>
  </si>
  <si>
    <t>735157649R00</t>
  </si>
  <si>
    <t>Otopné těleso panelové Radik Ventil Kompakt 22, v. 500 mm, dl. 1400 mm</t>
  </si>
  <si>
    <t>34</t>
  </si>
  <si>
    <t>735157781R00</t>
  </si>
  <si>
    <t>Otopné těleso panelové Radik Ventil Kompakt 33, v. 900 mm, dl. 500 mm</t>
  </si>
  <si>
    <t>35</t>
  </si>
  <si>
    <t>735157783R00</t>
  </si>
  <si>
    <t>Otopné těleso panelové Radik Ventil Kompakt 33, v. 900 mm, dl. 700 mm</t>
  </si>
  <si>
    <t>36</t>
  </si>
  <si>
    <t>735157784R00</t>
  </si>
  <si>
    <t>Otopné těleso panelové Radik Ventil Kompakt 33, v. 900 mm, dl. 800 mm</t>
  </si>
  <si>
    <t>37</t>
  </si>
  <si>
    <t>735.1</t>
  </si>
  <si>
    <t>Stojánková konzola vnitřní</t>
  </si>
  <si>
    <t>38</t>
  </si>
  <si>
    <t>998735204R00</t>
  </si>
  <si>
    <t>Přesun hmot pro otopná tělesa, výšky do 36 m</t>
  </si>
  <si>
    <t>39</t>
  </si>
  <si>
    <t>767_</t>
  </si>
  <si>
    <t>_76_</t>
  </si>
  <si>
    <t>40</t>
  </si>
  <si>
    <t>783_</t>
  </si>
  <si>
    <t>_78_</t>
  </si>
  <si>
    <t>41</t>
  </si>
  <si>
    <t>030001000</t>
  </si>
  <si>
    <t>soubor</t>
  </si>
  <si>
    <t>99</t>
  </si>
  <si>
    <t>09VRN_</t>
  </si>
  <si>
    <t>_Â _</t>
  </si>
  <si>
    <t>42</t>
  </si>
  <si>
    <t>030001002</t>
  </si>
  <si>
    <t>Doprava materiálu</t>
  </si>
</sst>
</file>

<file path=xl/styles.xml><?xml version="1.0" encoding="utf-8"?>
<styleSheet xmlns="http://schemas.openxmlformats.org/spreadsheetml/2006/main">
  <numFmts count="0"/>
  <fonts count="10">
    <font>
      <sz val="11"/>
      <name val="Calibri"/>
      <charset val="1"/>
    </font>
    <font>
      <color rgb="FF000000"/>
      <sz val="18"/>
      <name val="Arial"/>
      <charset val="238"/>
    </font>
    <font>
      <color rgb="FF000000"/>
      <sz val="10"/>
      <name val="Arial"/>
      <charset val="238"/>
    </font>
    <font>
      <color rgb="FF000000"/>
      <sz val="10"/>
      <name val="Arial"/>
      <charset val="238"/>
      <b/>
    </font>
    <font>
      <color rgb="FF000000"/>
      <sz val="18"/>
      <name val="Arial"/>
      <charset val="238"/>
      <b/>
    </font>
    <font>
      <color rgb="FF000000"/>
      <sz val="20"/>
      <name val="Arial"/>
      <charset val="238"/>
      <b/>
    </font>
    <font>
      <color rgb="FF000000"/>
      <sz val="11"/>
      <name val="Arial"/>
      <charset val="238"/>
      <b/>
    </font>
    <font>
      <color rgb="FF000000"/>
      <sz val="12"/>
      <name val="Arial"/>
      <charset val="238"/>
      <b/>
    </font>
    <font>
      <color rgb="FF000000"/>
      <sz val="12"/>
      <name val="Arial"/>
      <charset val="238"/>
    </font>
    <font>
      <color rgb="FF000000"/>
      <sz val="8"/>
      <name val="Arial"/>
      <charset val="238"/>
      <i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7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</borders>
  <cellStyleXfs count="1">
    <xf borderId="0" fillId="0" fontId="0" numFmtId="0"/>
  </cellStyleXfs>
  <cellXfs count="153">
    <xf applyAlignment="true" applyBorder="true" applyFill="true" applyNumberFormat="true" applyFont="true" applyProtection="true" borderId="0" fillId="0" fontId="0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1" fillId="0" fontId="1" numFmtId="0" xfId="0">
      <alignment horizontal="center" vertical="center" textRotation="0" shrinkToFit="false" wrapText="true"/>
      <protection hidden="false" locked="true"/>
    </xf>
    <xf applyAlignment="true" applyBorder="true" applyFill="true" applyNumberFormat="true" applyFont="true" applyProtection="true" borderId="1" fillId="0" fontId="1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2" fillId="0" fontId="2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3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" fillId="0" fontId="3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3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" fillId="0" fontId="2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4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" fillId="0" fontId="2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0" fillId="0" fontId="2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6" fillId="0" fontId="2" numFmtId="1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" fillId="0" fontId="2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7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8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9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0" fillId="0" fontId="4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11" fillId="2" fontId="5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12" fillId="0" fontId="6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3" fillId="0" fontId="6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4" fillId="2" fontId="5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15" fillId="0" fontId="7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6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6" fillId="0" fontId="8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17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8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6" fillId="0" fontId="8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19" fillId="0" fontId="7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0" fillId="0" fontId="7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8" fillId="0" fontId="7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1" fillId="0" fontId="7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2" fillId="0" fontId="7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3" fillId="0" fontId="8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24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2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3" fillId="0" fontId="8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25" fillId="0" fontId="7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3" fillId="0" fontId="7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4" fillId="0" fontId="8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12" fillId="0" fontId="7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6" fillId="0" fontId="8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17" fillId="0" fontId="7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5" fillId="2" fontId="7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7" fillId="2" fontId="7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3" fillId="2" fontId="7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20" fillId="2" fontId="7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8" fillId="2" fontId="7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8" fillId="2" fontId="7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12" fillId="2" fontId="7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7" fillId="2" fontId="7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9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0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1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2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3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4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5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6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7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8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9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0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1" fillId="0" fontId="7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2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3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4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5" fillId="0" fontId="3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20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8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8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6" fillId="0" fontId="2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16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6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7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8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9" fillId="0" fontId="2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49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0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1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2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3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3" fillId="0" fontId="3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53" fillId="0" fontId="3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50" fillId="0" fontId="7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1" fillId="0" fontId="7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2" fillId="0" fontId="7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4" fillId="0" fontId="7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51" fillId="0" fontId="7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52" fillId="0" fontId="7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55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1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6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7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8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0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9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2" fillId="0" fontId="3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43" fillId="0" fontId="3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44" fillId="0" fontId="3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60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1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7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2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3" fillId="0" fontId="3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26" fillId="0" fontId="3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64" fillId="0" fontId="3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65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0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0" fillId="0" fontId="2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66" fillId="0" fontId="2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67" fillId="0" fontId="2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2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6" fillId="0" fontId="2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8" fillId="0" fontId="2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9" fillId="0" fontId="2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68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8" fillId="0" fontId="3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2" fontId="3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69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0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8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1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0" fillId="0" fontId="3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72" fillId="0" fontId="3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73" fillId="0" fontId="3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2" fontId="3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3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74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5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6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7" fillId="0" fontId="3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78" fillId="0" fontId="3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65" fillId="2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0" fillId="2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0" fillId="2" fontId="3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40" fillId="2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0" fillId="2" fontId="3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66" fillId="2" fontId="3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5" fillId="2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2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2" fontId="3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0" fillId="2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" fillId="2" fontId="3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6" fillId="0" fontId="2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2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8" fillId="0" fontId="2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9" fillId="0" fontId="2" numFmtId="0" xfId="0">
      <alignment horizontal="right" vertical="center" textRotation="0" shrinkToFit="false" wrapText="false"/>
      <protection hidden="false" locked="true"/>
    </xf>
  </cellXfs>
  <dxf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worksheet" Target="worksheets/sheet4.xml"/></Relationships>
</file>

<file path=xl/drawings/_rels/drawing1.xml.rels><?xml version="1.0" encoding="utf-8"?><Relationships xmlns="http://schemas.openxmlformats.org/package/2006/relationships"><Relationship Id="rId1" Type="http://schemas.openxmlformats.org/officeDocument/2006/relationships/image" Target="/xl/media/image1.jpeg" /></Relationships>
</file>

<file path=xl/drawings/_rels/drawing2.xml.rels><?xml version="1.0" encoding="utf-8"?><Relationships xmlns="http://schemas.openxmlformats.org/package/2006/relationships"><Relationship Id="rId1" Type="http://schemas.openxmlformats.org/officeDocument/2006/relationships/image" Target="/xl/media/image1.jpeg" /></Relationships>
</file>

<file path=xl/drawings/_rels/drawing3.xml.rels><?xml version="1.0" encoding="utf-8"?><Relationships xmlns="http://schemas.openxmlformats.org/package/2006/relationships"><Relationship Id="rId1" Type="http://schemas.openxmlformats.org/officeDocument/2006/relationships/image" Target="/xl/media/image1.jpeg" /></Relationships>
</file>

<file path=xl/drawings/_rels/drawing4.xml.rels><?xml version="1.0" encoding="utf-8"?><Relationships xmlns="http://schemas.openxmlformats.org/package/2006/relationships"><Relationship Id="rId1" Type="http://schemas.openxmlformats.org/officeDocument/2006/relationships/image" Target="/xl/media/image1.jpeg" /></Relationships>
</file>

<file path=xl/drawings/drawing1.xml><?xml version="1.0" encoding="utf-8"?>
<xdr:wsDr xmlns:a="http://schemas.openxmlformats.org/drawingml/2006/main" xmlns:xdr="http://schemas.openxmlformats.org/drawingml/2006/spreadsheetDrawing">
  <xdr:absoluteAnchor>
    <xdr:pos x="0" y="0"/>
    <xdr:ext cx="666750" cy="666750"/>
    <xdr:pic>
      <xdr:nvPicPr>
        <xdr:cNvPr id="1" name=""/>
        <xdr:cNvPicPr>
          <a:picLocks noChangeAspect="true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a="http://schemas.openxmlformats.org/drawingml/2006/main" xmlns:xdr="http://schemas.openxmlformats.org/drawingml/2006/spreadsheetDrawing">
  <xdr:absoluteAnchor>
    <xdr:pos x="0" y="0"/>
    <xdr:ext cx="666750" cy="666750"/>
    <xdr:pic>
      <xdr:nvPicPr>
        <xdr:cNvPr id="1" name=""/>
        <xdr:cNvPicPr>
          <a:picLocks noChangeAspect="true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a="http://schemas.openxmlformats.org/drawingml/2006/main" xmlns:xdr="http://schemas.openxmlformats.org/drawingml/2006/spreadsheetDrawing">
  <xdr:absoluteAnchor>
    <xdr:pos x="0" y="0"/>
    <xdr:ext cx="666750" cy="666750"/>
    <xdr:pic>
      <xdr:nvPicPr>
        <xdr:cNvPr id="1" name=""/>
        <xdr:cNvPicPr>
          <a:picLocks noChangeAspect="true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4.xml><?xml version="1.0" encoding="utf-8"?>
<xdr:wsDr xmlns:a="http://schemas.openxmlformats.org/drawingml/2006/main" xmlns:xdr="http://schemas.openxmlformats.org/drawingml/2006/spreadsheetDrawing">
  <xdr:absoluteAnchor>
    <xdr:pos x="0" y="0"/>
    <xdr:ext cx="666750" cy="666750"/>
    <xdr:pic>
      <xdr:nvPicPr>
        <xdr:cNvPr id="1" name=""/>
        <xdr:cNvPicPr>
          <a:picLocks noChangeAspect="true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worksheets/_rels/sheet1.xml.rels>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true" summaryRight="true"/>
    <pageSetUpPr fitToPage="true"/>
  </sheetPr>
  <dimension ref="A1:I37"/>
  <sheetViews>
    <sheetView workbookViewId="0" tabSelected="true" showZeros="true" showFormulas="false" showGridLines="true" showRowColHeaders="true">
      <selection sqref="A37:I37" activeCell="A37"/>
    </sheetView>
  </sheetViews>
  <sheetFormatPr defaultColWidth="12.140625" customHeight="true" defaultRowHeight="15"/>
  <cols>
    <col max="1" min="1" style="0" width="9.140625" customWidth="true"/>
    <col max="2" min="2" style="0" width="12.85546875" customWidth="true"/>
    <col max="3" min="3" style="0" width="27.140625" customWidth="true"/>
    <col max="4" min="4" style="0" width="10" customWidth="true"/>
    <col max="5" min="5" style="0" width="14" customWidth="true"/>
    <col max="6" min="6" style="0" width="27.140625" customWidth="true"/>
    <col max="7" min="7" style="0" width="9.140625" customWidth="true"/>
    <col max="8" min="8" style="0" width="12.85546875" customWidth="true"/>
    <col max="9" min="9" style="0" width="27.140625" customWidth="true"/>
  </cols>
  <sheetData>
    <row r="1" customHeight="true" ht="54.75">
      <c r="A1" s="1" t="s">
        <v>0</v>
      </c>
      <c r="B1" s="2"/>
      <c r="C1" s="2"/>
      <c r="D1" s="2"/>
      <c r="E1" s="2"/>
      <c r="F1" s="2"/>
      <c r="G1" s="2"/>
      <c r="H1" s="2"/>
      <c r="I1" s="2"/>
    </row>
    <row r="2">
      <c r="A2" s="3" t="s">
        <v>1</v>
      </c>
      <c r="B2" s="4"/>
      <c r="C2" s="5">
        <f>'Stavební rozpočet'!C2</f>
      </c>
      <c r="D2" s="6"/>
      <c r="E2" s="7" t="s">
        <v>2</v>
      </c>
      <c r="F2" s="7">
        <f>'Stavební rozpočet'!I2</f>
      </c>
      <c r="G2" s="4"/>
      <c r="H2" s="7" t="s">
        <v>3</v>
      </c>
      <c r="I2" s="8" t="s">
        <v>4</v>
      </c>
    </row>
    <row r="3" customHeight="true" ht="25.5">
      <c r="A3" s="9"/>
      <c r="B3" s="10"/>
      <c r="C3" s="11"/>
      <c r="D3" s="11"/>
      <c r="E3" s="10"/>
      <c r="F3" s="10"/>
      <c r="G3" s="10"/>
      <c r="H3" s="10"/>
      <c r="I3" s="12"/>
    </row>
    <row r="4">
      <c r="A4" s="13" t="s">
        <v>5</v>
      </c>
      <c r="B4" s="10"/>
      <c r="C4" s="14">
        <f>'Stavební rozpočet'!C4</f>
      </c>
      <c r="D4" s="10"/>
      <c r="E4" s="14" t="s">
        <v>6</v>
      </c>
      <c r="F4" s="14">
        <f>'Stavební rozpočet'!I4</f>
      </c>
      <c r="G4" s="10"/>
      <c r="H4" s="14" t="s">
        <v>3</v>
      </c>
      <c r="I4" s="12" t="s">
        <v>4</v>
      </c>
    </row>
    <row r="5" customHeight="true" ht="15">
      <c r="A5" s="9"/>
      <c r="B5" s="10"/>
      <c r="C5" s="10"/>
      <c r="D5" s="10"/>
      <c r="E5" s="10"/>
      <c r="F5" s="10"/>
      <c r="G5" s="10"/>
      <c r="H5" s="10"/>
      <c r="I5" s="12"/>
    </row>
    <row r="6">
      <c r="A6" s="13" t="s">
        <v>7</v>
      </c>
      <c r="B6" s="10"/>
      <c r="C6" s="14">
        <f>'Stavební rozpočet'!C6</f>
      </c>
      <c r="D6" s="10"/>
      <c r="E6" s="14" t="s">
        <v>8</v>
      </c>
      <c r="F6" s="14">
        <f>'Stavební rozpočet'!I6</f>
      </c>
      <c r="G6" s="10"/>
      <c r="H6" s="14" t="s">
        <v>3</v>
      </c>
      <c r="I6" s="12" t="s">
        <v>4</v>
      </c>
    </row>
    <row r="7" customHeight="true" ht="25.5">
      <c r="A7" s="9"/>
      <c r="B7" s="10"/>
      <c r="C7" s="10"/>
      <c r="D7" s="10"/>
      <c r="E7" s="10"/>
      <c r="F7" s="10"/>
      <c r="G7" s="10"/>
      <c r="H7" s="10"/>
      <c r="I7" s="12"/>
    </row>
    <row r="8">
      <c r="A8" s="13" t="s">
        <v>9</v>
      </c>
      <c r="B8" s="10"/>
      <c r="C8" s="14">
        <f>'Stavební rozpočet'!G4</f>
      </c>
      <c r="D8" s="10"/>
      <c r="E8" s="14" t="s">
        <v>10</v>
      </c>
      <c r="F8" s="14">
        <f>'Stavební rozpočet'!G6</f>
      </c>
      <c r="G8" s="10"/>
      <c r="H8" s="10" t="s">
        <v>11</v>
      </c>
      <c r="I8" s="15" t="n">
        <v>42</v>
      </c>
    </row>
    <row r="9">
      <c r="A9" s="9"/>
      <c r="B9" s="10"/>
      <c r="C9" s="10"/>
      <c r="D9" s="10"/>
      <c r="E9" s="10"/>
      <c r="F9" s="10"/>
      <c r="G9" s="10"/>
      <c r="H9" s="10"/>
      <c r="I9" s="12"/>
    </row>
    <row r="10">
      <c r="A10" s="13" t="s">
        <v>12</v>
      </c>
      <c r="B10" s="10"/>
      <c r="C10" s="14">
        <f>'Stavební rozpočet'!C8</f>
      </c>
      <c r="D10" s="10"/>
      <c r="E10" s="14" t="s">
        <v>13</v>
      </c>
      <c r="F10" s="14">
        <f>'Stavební rozpočet'!I8</f>
      </c>
      <c r="G10" s="10"/>
      <c r="H10" s="10" t="s">
        <v>14</v>
      </c>
      <c r="I10" s="16">
        <f>'Stavební rozpočet'!G8</f>
      </c>
    </row>
    <row r="11">
      <c r="A11" s="17"/>
      <c r="B11" s="18"/>
      <c r="C11" s="18"/>
      <c r="D11" s="18"/>
      <c r="E11" s="18"/>
      <c r="F11" s="18"/>
      <c r="G11" s="18"/>
      <c r="H11" s="18"/>
      <c r="I11" s="19"/>
    </row>
    <row r="12">
      <c r="A12" s="20" t="s">
        <v>15</v>
      </c>
      <c r="B12" s="20"/>
      <c r="C12" s="20"/>
      <c r="D12" s="20"/>
      <c r="E12" s="20"/>
      <c r="F12" s="20"/>
      <c r="G12" s="20"/>
      <c r="H12" s="20"/>
      <c r="I12" s="20"/>
    </row>
    <row r="13" customHeight="true" ht="26.25">
      <c r="A13" s="21" t="s">
        <v>16</v>
      </c>
      <c r="B13" s="22" t="s">
        <v>17</v>
      </c>
      <c r="C13" s="23"/>
      <c r="D13" s="24" t="s">
        <v>18</v>
      </c>
      <c r="E13" s="22" t="s">
        <v>19</v>
      </c>
      <c r="F13" s="23"/>
      <c r="G13" s="24" t="s">
        <v>20</v>
      </c>
      <c r="H13" s="22" t="s">
        <v>21</v>
      </c>
      <c r="I13" s="23"/>
    </row>
    <row r="14">
      <c r="A14" s="25" t="s">
        <v>22</v>
      </c>
      <c r="B14" s="26" t="s">
        <v>23</v>
      </c>
      <c r="C14" s="27">
        <f>SUM('Stavební rozpočet'!AB12:AB62)</f>
      </c>
      <c r="D14" s="28" t="s">
        <v>24</v>
      </c>
      <c r="E14" s="29"/>
      <c r="F14" s="27">
        <f>VORN!I15</f>
      </c>
      <c r="G14" s="28" t="s">
        <v>25</v>
      </c>
      <c r="H14" s="29"/>
      <c r="I14" s="30">
        <f>VORN!I21</f>
      </c>
    </row>
    <row r="15">
      <c r="A15" s="31" t="s">
        <v>4</v>
      </c>
      <c r="B15" s="26" t="s">
        <v>26</v>
      </c>
      <c r="C15" s="27">
        <f>SUM('Stavební rozpočet'!AC12:AC62)</f>
      </c>
      <c r="D15" s="28" t="s">
        <v>27</v>
      </c>
      <c r="E15" s="29"/>
      <c r="F15" s="27">
        <f>VORN!I16</f>
      </c>
      <c r="G15" s="28" t="s">
        <v>28</v>
      </c>
      <c r="H15" s="29"/>
      <c r="I15" s="30">
        <f>VORN!I22</f>
      </c>
    </row>
    <row r="16">
      <c r="A16" s="25" t="s">
        <v>29</v>
      </c>
      <c r="B16" s="26" t="s">
        <v>23</v>
      </c>
      <c r="C16" s="27">
        <f>SUM('Stavební rozpočet'!AD12:AD62)</f>
      </c>
      <c r="D16" s="28" t="s">
        <v>30</v>
      </c>
      <c r="E16" s="29"/>
      <c r="F16" s="27">
        <f>VORN!I17</f>
      </c>
      <c r="G16" s="28" t="s">
        <v>31</v>
      </c>
      <c r="H16" s="29"/>
      <c r="I16" s="30">
        <f>VORN!I23</f>
      </c>
    </row>
    <row r="17">
      <c r="A17" s="31" t="s">
        <v>4</v>
      </c>
      <c r="B17" s="26" t="s">
        <v>26</v>
      </c>
      <c r="C17" s="27">
        <f>SUM('Stavební rozpočet'!AE12:AE62)</f>
      </c>
      <c r="D17" s="28" t="s">
        <v>4</v>
      </c>
      <c r="E17" s="29"/>
      <c r="F17" s="30" t="s">
        <v>4</v>
      </c>
      <c r="G17" s="28" t="s">
        <v>32</v>
      </c>
      <c r="H17" s="29"/>
      <c r="I17" s="30">
        <f>VORN!I24</f>
      </c>
    </row>
    <row r="18">
      <c r="A18" s="25" t="s">
        <v>33</v>
      </c>
      <c r="B18" s="26" t="s">
        <v>23</v>
      </c>
      <c r="C18" s="27">
        <f>SUM('Stavební rozpočet'!AF12:AF62)</f>
      </c>
      <c r="D18" s="28" t="s">
        <v>4</v>
      </c>
      <c r="E18" s="29"/>
      <c r="F18" s="30" t="s">
        <v>4</v>
      </c>
      <c r="G18" s="28" t="s">
        <v>34</v>
      </c>
      <c r="H18" s="29"/>
      <c r="I18" s="30">
        <f>VORN!I25</f>
      </c>
    </row>
    <row r="19">
      <c r="A19" s="31" t="s">
        <v>4</v>
      </c>
      <c r="B19" s="26" t="s">
        <v>26</v>
      </c>
      <c r="C19" s="27">
        <f>SUM('Stavební rozpočet'!AG12:AG62)</f>
      </c>
      <c r="D19" s="28" t="s">
        <v>4</v>
      </c>
      <c r="E19" s="29"/>
      <c r="F19" s="30" t="s">
        <v>4</v>
      </c>
      <c r="G19" s="28" t="s">
        <v>35</v>
      </c>
      <c r="H19" s="29"/>
      <c r="I19" s="30">
        <f>VORN!I26</f>
      </c>
    </row>
    <row r="20">
      <c r="A20" s="32" t="s">
        <v>36</v>
      </c>
      <c r="B20" s="33"/>
      <c r="C20" s="27">
        <f>SUM('Stavební rozpočet'!AH12:AH62)</f>
      </c>
      <c r="D20" s="28" t="s">
        <v>4</v>
      </c>
      <c r="E20" s="29"/>
      <c r="F20" s="30" t="s">
        <v>4</v>
      </c>
      <c r="G20" s="28" t="s">
        <v>4</v>
      </c>
      <c r="H20" s="29"/>
      <c r="I20" s="30" t="s">
        <v>4</v>
      </c>
    </row>
    <row r="21">
      <c r="A21" s="34" t="s">
        <v>37</v>
      </c>
      <c r="B21" s="35"/>
      <c r="C21" s="36">
        <f>SUM('Stavební rozpočet'!Z12:Z62)</f>
      </c>
      <c r="D21" s="37" t="s">
        <v>4</v>
      </c>
      <c r="E21" s="38"/>
      <c r="F21" s="39" t="s">
        <v>4</v>
      </c>
      <c r="G21" s="37" t="s">
        <v>4</v>
      </c>
      <c r="H21" s="38"/>
      <c r="I21" s="39" t="s">
        <v>4</v>
      </c>
    </row>
    <row r="22" customHeight="true" ht="16.5">
      <c r="A22" s="40" t="s">
        <v>38</v>
      </c>
      <c r="B22" s="41"/>
      <c r="C22" s="42">
        <f>SUM(C14:C21)</f>
      </c>
      <c r="D22" s="43" t="s">
        <v>39</v>
      </c>
      <c r="E22" s="41"/>
      <c r="F22" s="42">
        <f>SUM(F14:F21)</f>
      </c>
      <c r="G22" s="43" t="s">
        <v>40</v>
      </c>
      <c r="H22" s="41"/>
      <c r="I22" s="42">
        <f>SUM(I14:I21)</f>
      </c>
    </row>
    <row r="23">
      <c r="D23" s="32" t="s">
        <v>41</v>
      </c>
      <c r="E23" s="33"/>
      <c r="F23" s="44" t="n">
        <v>0</v>
      </c>
      <c r="G23" s="45" t="s">
        <v>42</v>
      </c>
      <c r="H23" s="33"/>
      <c r="I23" s="27" t="n">
        <v>0</v>
      </c>
    </row>
    <row r="24">
      <c r="G24" s="32" t="s">
        <v>43</v>
      </c>
      <c r="H24" s="33"/>
      <c r="I24" s="36">
        <f>vorn_sum</f>
      </c>
    </row>
    <row r="25">
      <c r="G25" s="32" t="s">
        <v>44</v>
      </c>
      <c r="H25" s="33"/>
      <c r="I25" s="42" t="n">
        <v>0</v>
      </c>
    </row>
    <row r="27">
      <c r="A27" s="46" t="s">
        <v>45</v>
      </c>
      <c r="B27" s="47"/>
      <c r="C27" s="48">
        <f>SUM('Stavební rozpočet'!AJ12:AJ62)</f>
      </c>
    </row>
    <row r="28">
      <c r="A28" s="49" t="s">
        <v>46</v>
      </c>
      <c r="B28" s="50"/>
      <c r="C28" s="51">
        <f>SUM('Stavební rozpočet'!AK12:AK62)</f>
      </c>
      <c r="D28" s="52" t="s">
        <v>47</v>
      </c>
      <c r="E28" s="47"/>
      <c r="F28" s="48">
        <f>ROUND(C28*(12/100),2)</f>
      </c>
      <c r="G28" s="52" t="s">
        <v>48</v>
      </c>
      <c r="H28" s="47"/>
      <c r="I28" s="48">
        <f>SUM(C27:C29)</f>
      </c>
    </row>
    <row r="29">
      <c r="A29" s="49" t="s">
        <v>49</v>
      </c>
      <c r="B29" s="50"/>
      <c r="C29" s="51">
        <f>SUM('Stavební rozpočet'!AL12:AL62)</f>
      </c>
      <c r="D29" s="53" t="s">
        <v>50</v>
      </c>
      <c r="E29" s="50"/>
      <c r="F29" s="51">
        <f>ROUND(C29*(21/100),2)</f>
      </c>
      <c r="G29" s="53" t="s">
        <v>51</v>
      </c>
      <c r="H29" s="50"/>
      <c r="I29" s="51">
        <f>SUM(F28:F29)+I28</f>
      </c>
    </row>
    <row r="31">
      <c r="A31" s="54" t="s">
        <v>52</v>
      </c>
      <c r="B31" s="55"/>
      <c r="C31" s="56"/>
      <c r="D31" s="57" t="s">
        <v>53</v>
      </c>
      <c r="E31" s="55"/>
      <c r="F31" s="56"/>
      <c r="G31" s="57" t="s">
        <v>54</v>
      </c>
      <c r="H31" s="55"/>
      <c r="I31" s="56"/>
    </row>
    <row r="32">
      <c r="A32" s="58" t="s">
        <v>4</v>
      </c>
      <c r="B32" s="59"/>
      <c r="C32" s="60"/>
      <c r="D32" s="61" t="s">
        <v>4</v>
      </c>
      <c r="E32" s="59"/>
      <c r="F32" s="60"/>
      <c r="G32" s="61" t="s">
        <v>4</v>
      </c>
      <c r="H32" s="59"/>
      <c r="I32" s="60"/>
    </row>
    <row r="33">
      <c r="A33" s="58" t="s">
        <v>4</v>
      </c>
      <c r="B33" s="59"/>
      <c r="C33" s="60"/>
      <c r="D33" s="61" t="s">
        <v>4</v>
      </c>
      <c r="E33" s="59"/>
      <c r="F33" s="60"/>
      <c r="G33" s="61" t="s">
        <v>4</v>
      </c>
      <c r="H33" s="59"/>
      <c r="I33" s="60"/>
    </row>
    <row r="34">
      <c r="A34" s="58" t="s">
        <v>4</v>
      </c>
      <c r="B34" s="59"/>
      <c r="C34" s="60"/>
      <c r="D34" s="61" t="s">
        <v>4</v>
      </c>
      <c r="E34" s="59"/>
      <c r="F34" s="60"/>
      <c r="G34" s="61" t="s">
        <v>4</v>
      </c>
      <c r="H34" s="59"/>
      <c r="I34" s="60"/>
    </row>
    <row r="35">
      <c r="A35" s="62" t="s">
        <v>55</v>
      </c>
      <c r="B35" s="63"/>
      <c r="C35" s="64"/>
      <c r="D35" s="65" t="s">
        <v>55</v>
      </c>
      <c r="E35" s="63"/>
      <c r="F35" s="64"/>
      <c r="G35" s="65" t="s">
        <v>55</v>
      </c>
      <c r="H35" s="63"/>
      <c r="I35" s="64"/>
    </row>
    <row r="36">
      <c r="A36" s="66" t="s">
        <v>56</v>
      </c>
    </row>
    <row r="37" customHeight="true" ht="12.75">
      <c r="A37" s="14" t="s">
        <v>4</v>
      </c>
      <c r="B37" s="10"/>
      <c r="C37" s="10"/>
      <c r="D37" s="10"/>
      <c r="E37" s="10"/>
      <c r="F37" s="10"/>
      <c r="G37" s="10"/>
      <c r="H37" s="10"/>
      <c r="I37" s="10"/>
    </row>
  </sheetData>
  <mergeCells>
    <mergeCell ref="A1:I1"/>
    <mergeCell ref="A2:B3"/>
    <mergeCell ref="A4:B5"/>
    <mergeCell ref="A6:B7"/>
    <mergeCell ref="A8:B9"/>
    <mergeCell ref="A10:B11"/>
    <mergeCell ref="E2:E3"/>
    <mergeCell ref="E4:E5"/>
    <mergeCell ref="E6:E7"/>
    <mergeCell ref="E8:E9"/>
    <mergeCell ref="E10:E11"/>
    <mergeCell ref="C2:D3"/>
    <mergeCell ref="C4:D5"/>
    <mergeCell ref="C6:D7"/>
    <mergeCell ref="C8:D9"/>
    <mergeCell ref="C10:D11"/>
    <mergeCell ref="F2:G3"/>
    <mergeCell ref="F4:G5"/>
    <mergeCell ref="F6:G7"/>
    <mergeCell ref="F8:G9"/>
    <mergeCell ref="F10:G11"/>
    <mergeCell ref="H2:H3"/>
    <mergeCell ref="H4:H5"/>
    <mergeCell ref="H6:H7"/>
    <mergeCell ref="H8:H9"/>
    <mergeCell ref="H10:H11"/>
    <mergeCell ref="I2:I3"/>
    <mergeCell ref="I4:I5"/>
    <mergeCell ref="I6:I7"/>
    <mergeCell ref="I8:I9"/>
    <mergeCell ref="I10:I11"/>
    <mergeCell ref="A12:I12"/>
    <mergeCell ref="B13:C13"/>
    <mergeCell ref="E13:F13"/>
    <mergeCell ref="H13:I13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A31:C31"/>
    <mergeCell ref="A32:C32"/>
    <mergeCell ref="A33:C33"/>
    <mergeCell ref="A34:C34"/>
    <mergeCell ref="A35:C35"/>
    <mergeCell ref="D31:F31"/>
    <mergeCell ref="D32:F32"/>
    <mergeCell ref="D33:F33"/>
    <mergeCell ref="D34:F34"/>
    <mergeCell ref="D35:F35"/>
    <mergeCell ref="G31:I31"/>
    <mergeCell ref="G32:I32"/>
    <mergeCell ref="G33:I33"/>
    <mergeCell ref="G34:I34"/>
    <mergeCell ref="G35:I35"/>
    <mergeCell ref="A37:I37"/>
  </mergeCells>
  <pageMargins left="0.393999993801117" top="0.591000020503998" right="0.393999993801117" bottom="0.591000020503998" header="0" footer="0"/>
  <pageSetup orientation="landscape" fitToHeight="1" fitToWidth="1" cellComments="none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true" summaryRight="true"/>
    <pageSetUpPr fitToPage="true"/>
  </sheetPr>
  <dimension ref="A1:I45"/>
  <sheetViews>
    <sheetView workbookViewId="0" showZeros="true" showFormulas="false" showGridLines="true" showRowColHeaders="true">
      <selection sqref="A45:E45" activeCell="A45"/>
    </sheetView>
  </sheetViews>
  <sheetFormatPr defaultColWidth="12.140625" customHeight="true" defaultRowHeight="15"/>
  <cols>
    <col max="1" min="1" style="0" width="9.140625" customWidth="true"/>
    <col max="2" min="2" style="0" width="12.85546875" customWidth="true"/>
    <col max="3" min="3" style="0" width="22.85546875" customWidth="true"/>
    <col max="4" min="4" style="0" width="10" customWidth="true"/>
    <col max="5" min="5" style="0" width="14" customWidth="true"/>
    <col max="6" min="6" style="0" width="22.85546875" customWidth="true"/>
    <col max="7" min="7" style="0" width="9.140625" customWidth="true"/>
    <col max="8" min="8" style="0" width="17.140625" customWidth="true"/>
    <col max="9" min="9" style="0" width="22.85546875" customWidth="true"/>
  </cols>
  <sheetData>
    <row r="1" customHeight="true" ht="54.75">
      <c r="A1" s="1" t="s">
        <v>57</v>
      </c>
      <c r="B1" s="2"/>
      <c r="C1" s="2"/>
      <c r="D1" s="2"/>
      <c r="E1" s="2"/>
      <c r="F1" s="2"/>
      <c r="G1" s="2"/>
      <c r="H1" s="2"/>
      <c r="I1" s="2"/>
    </row>
    <row r="2">
      <c r="A2" s="3" t="s">
        <v>1</v>
      </c>
      <c r="B2" s="4"/>
      <c r="C2" s="5">
        <f>'Stavební rozpočet'!C2</f>
      </c>
      <c r="D2" s="6"/>
      <c r="E2" s="7" t="s">
        <v>2</v>
      </c>
      <c r="F2" s="7">
        <f>'Stavební rozpočet'!I2</f>
      </c>
      <c r="G2" s="4"/>
      <c r="H2" s="7" t="s">
        <v>3</v>
      </c>
      <c r="I2" s="8" t="s">
        <v>4</v>
      </c>
    </row>
    <row r="3" customHeight="true" ht="25.5">
      <c r="A3" s="9"/>
      <c r="B3" s="10"/>
      <c r="C3" s="11"/>
      <c r="D3" s="11"/>
      <c r="E3" s="10"/>
      <c r="F3" s="10"/>
      <c r="G3" s="10"/>
      <c r="H3" s="10"/>
      <c r="I3" s="12"/>
    </row>
    <row r="4">
      <c r="A4" s="13" t="s">
        <v>5</v>
      </c>
      <c r="B4" s="10"/>
      <c r="C4" s="14">
        <f>'Stavební rozpočet'!C4</f>
      </c>
      <c r="D4" s="10"/>
      <c r="E4" s="14" t="s">
        <v>6</v>
      </c>
      <c r="F4" s="14">
        <f>'Stavební rozpočet'!I4</f>
      </c>
      <c r="G4" s="10"/>
      <c r="H4" s="14" t="s">
        <v>3</v>
      </c>
      <c r="I4" s="12" t="s">
        <v>4</v>
      </c>
    </row>
    <row r="5" customHeight="true" ht="15">
      <c r="A5" s="9"/>
      <c r="B5" s="10"/>
      <c r="C5" s="10"/>
      <c r="D5" s="10"/>
      <c r="E5" s="10"/>
      <c r="F5" s="10"/>
      <c r="G5" s="10"/>
      <c r="H5" s="10"/>
      <c r="I5" s="12"/>
    </row>
    <row r="6">
      <c r="A6" s="13" t="s">
        <v>7</v>
      </c>
      <c r="B6" s="10"/>
      <c r="C6" s="14">
        <f>'Stavební rozpočet'!C6</f>
      </c>
      <c r="D6" s="10"/>
      <c r="E6" s="14" t="s">
        <v>8</v>
      </c>
      <c r="F6" s="14">
        <f>'Stavební rozpočet'!I6</f>
      </c>
      <c r="G6" s="10"/>
      <c r="H6" s="14" t="s">
        <v>3</v>
      </c>
      <c r="I6" s="12" t="s">
        <v>4</v>
      </c>
    </row>
    <row r="7" customHeight="true" ht="25.5">
      <c r="A7" s="9"/>
      <c r="B7" s="10"/>
      <c r="C7" s="10"/>
      <c r="D7" s="10"/>
      <c r="E7" s="10"/>
      <c r="F7" s="10"/>
      <c r="G7" s="10"/>
      <c r="H7" s="10"/>
      <c r="I7" s="12"/>
    </row>
    <row r="8">
      <c r="A8" s="13" t="s">
        <v>9</v>
      </c>
      <c r="B8" s="10"/>
      <c r="C8" s="14">
        <f>'Stavební rozpočet'!G4</f>
      </c>
      <c r="D8" s="10"/>
      <c r="E8" s="14" t="s">
        <v>10</v>
      </c>
      <c r="F8" s="14">
        <f>'Stavební rozpočet'!G6</f>
      </c>
      <c r="G8" s="10"/>
      <c r="H8" s="10" t="s">
        <v>11</v>
      </c>
      <c r="I8" s="15" t="n">
        <v>42</v>
      </c>
    </row>
    <row r="9">
      <c r="A9" s="9"/>
      <c r="B9" s="10"/>
      <c r="C9" s="10"/>
      <c r="D9" s="10"/>
      <c r="E9" s="10"/>
      <c r="F9" s="10"/>
      <c r="G9" s="10"/>
      <c r="H9" s="10"/>
      <c r="I9" s="12"/>
    </row>
    <row r="10">
      <c r="A10" s="13" t="s">
        <v>12</v>
      </c>
      <c r="B10" s="10"/>
      <c r="C10" s="14">
        <f>'Stavební rozpočet'!C8</f>
      </c>
      <c r="D10" s="10"/>
      <c r="E10" s="14" t="s">
        <v>13</v>
      </c>
      <c r="F10" s="14">
        <f>'Stavební rozpočet'!I8</f>
      </c>
      <c r="G10" s="10"/>
      <c r="H10" s="10" t="s">
        <v>14</v>
      </c>
      <c r="I10" s="16">
        <f>'Stavební rozpočet'!G8</f>
      </c>
    </row>
    <row r="11">
      <c r="A11" s="17"/>
      <c r="B11" s="18"/>
      <c r="C11" s="18"/>
      <c r="D11" s="18"/>
      <c r="E11" s="18"/>
      <c r="F11" s="18"/>
      <c r="G11" s="18"/>
      <c r="H11" s="18"/>
      <c r="I11" s="19"/>
    </row>
    <row r="13">
      <c r="A13" s="67" t="s">
        <v>58</v>
      </c>
      <c r="B13" s="67"/>
      <c r="C13" s="67"/>
      <c r="D13" s="67"/>
      <c r="E13" s="67"/>
    </row>
    <row r="14">
      <c r="A14" s="68" t="s">
        <v>59</v>
      </c>
      <c r="B14" s="69"/>
      <c r="C14" s="69"/>
      <c r="D14" s="69"/>
      <c r="E14" s="70"/>
      <c r="F14" s="71" t="s">
        <v>60</v>
      </c>
      <c r="G14" s="71" t="s">
        <v>61</v>
      </c>
      <c r="H14" s="71" t="s">
        <v>62</v>
      </c>
      <c r="I14" s="71" t="s">
        <v>60</v>
      </c>
    </row>
    <row r="15">
      <c r="A15" s="72" t="s">
        <v>24</v>
      </c>
      <c r="B15" s="73"/>
      <c r="C15" s="73"/>
      <c r="D15" s="73"/>
      <c r="E15" s="74"/>
      <c r="F15" s="75" t="n">
        <v>0</v>
      </c>
      <c r="G15" s="76" t="s">
        <v>4</v>
      </c>
      <c r="H15" s="76" t="s">
        <v>4</v>
      </c>
      <c r="I15" s="75">
        <f>F15</f>
      </c>
    </row>
    <row r="16">
      <c r="A16" s="72" t="s">
        <v>27</v>
      </c>
      <c r="B16" s="73"/>
      <c r="C16" s="73"/>
      <c r="D16" s="73"/>
      <c r="E16" s="74"/>
      <c r="F16" s="75" t="n">
        <v>0</v>
      </c>
      <c r="G16" s="76" t="s">
        <v>4</v>
      </c>
      <c r="H16" s="76" t="s">
        <v>4</v>
      </c>
      <c r="I16" s="75">
        <f>F16</f>
      </c>
    </row>
    <row r="17">
      <c r="A17" s="77" t="s">
        <v>30</v>
      </c>
      <c r="B17" s="78"/>
      <c r="C17" s="78"/>
      <c r="D17" s="78"/>
      <c r="E17" s="79"/>
      <c r="F17" s="80" t="n">
        <v>0</v>
      </c>
      <c r="G17" s="81" t="s">
        <v>4</v>
      </c>
      <c r="H17" s="81" t="s">
        <v>4</v>
      </c>
      <c r="I17" s="80">
        <f>F17</f>
      </c>
    </row>
    <row r="18">
      <c r="A18" s="82" t="s">
        <v>63</v>
      </c>
      <c r="B18" s="83"/>
      <c r="C18" s="83"/>
      <c r="D18" s="83"/>
      <c r="E18" s="84"/>
      <c r="F18" s="85" t="s">
        <v>4</v>
      </c>
      <c r="G18" s="86" t="s">
        <v>4</v>
      </c>
      <c r="H18" s="86" t="s">
        <v>4</v>
      </c>
      <c r="I18" s="87">
        <f>SUM(I15:I17)</f>
      </c>
    </row>
    <row r="20">
      <c r="A20" s="68" t="s">
        <v>21</v>
      </c>
      <c r="B20" s="69"/>
      <c r="C20" s="69"/>
      <c r="D20" s="69"/>
      <c r="E20" s="70"/>
      <c r="F20" s="71" t="s">
        <v>60</v>
      </c>
      <c r="G20" s="71" t="s">
        <v>61</v>
      </c>
      <c r="H20" s="71" t="s">
        <v>62</v>
      </c>
      <c r="I20" s="71" t="s">
        <v>60</v>
      </c>
    </row>
    <row r="21">
      <c r="A21" s="72" t="s">
        <v>25</v>
      </c>
      <c r="B21" s="73"/>
      <c r="C21" s="73"/>
      <c r="D21" s="73"/>
      <c r="E21" s="74"/>
      <c r="F21" s="75" t="n">
        <v>0</v>
      </c>
      <c r="G21" s="76" t="s">
        <v>4</v>
      </c>
      <c r="H21" s="76" t="s">
        <v>4</v>
      </c>
      <c r="I21" s="75">
        <f>F21</f>
      </c>
    </row>
    <row r="22">
      <c r="A22" s="72" t="s">
        <v>28</v>
      </c>
      <c r="B22" s="73"/>
      <c r="C22" s="73"/>
      <c r="D22" s="73"/>
      <c r="E22" s="74"/>
      <c r="F22" s="75" t="n">
        <v>0</v>
      </c>
      <c r="G22" s="76" t="s">
        <v>4</v>
      </c>
      <c r="H22" s="76" t="s">
        <v>4</v>
      </c>
      <c r="I22" s="75">
        <f>F22</f>
      </c>
    </row>
    <row r="23">
      <c r="A23" s="72" t="s">
        <v>31</v>
      </c>
      <c r="B23" s="73"/>
      <c r="C23" s="73"/>
      <c r="D23" s="73"/>
      <c r="E23" s="74"/>
      <c r="F23" s="75" t="n">
        <v>0</v>
      </c>
      <c r="G23" s="76" t="s">
        <v>4</v>
      </c>
      <c r="H23" s="76" t="s">
        <v>4</v>
      </c>
      <c r="I23" s="75">
        <f>F23</f>
      </c>
    </row>
    <row r="24">
      <c r="A24" s="72" t="s">
        <v>32</v>
      </c>
      <c r="B24" s="73"/>
      <c r="C24" s="73"/>
      <c r="D24" s="73"/>
      <c r="E24" s="74"/>
      <c r="F24" s="75" t="n">
        <v>0</v>
      </c>
      <c r="G24" s="76" t="s">
        <v>4</v>
      </c>
      <c r="H24" s="76" t="s">
        <v>4</v>
      </c>
      <c r="I24" s="75">
        <f>F24</f>
      </c>
    </row>
    <row r="25">
      <c r="A25" s="72" t="s">
        <v>34</v>
      </c>
      <c r="B25" s="73"/>
      <c r="C25" s="73"/>
      <c r="D25" s="73"/>
      <c r="E25" s="74"/>
      <c r="F25" s="75" t="n">
        <v>0</v>
      </c>
      <c r="G25" s="76" t="s">
        <v>4</v>
      </c>
      <c r="H25" s="76" t="s">
        <v>4</v>
      </c>
      <c r="I25" s="75">
        <f>F25</f>
      </c>
    </row>
    <row r="26">
      <c r="A26" s="77" t="s">
        <v>35</v>
      </c>
      <c r="B26" s="78"/>
      <c r="C26" s="78"/>
      <c r="D26" s="78"/>
      <c r="E26" s="79"/>
      <c r="F26" s="80" t="n">
        <v>0</v>
      </c>
      <c r="G26" s="81" t="s">
        <v>4</v>
      </c>
      <c r="H26" s="81" t="s">
        <v>4</v>
      </c>
      <c r="I26" s="80">
        <f>F26</f>
      </c>
    </row>
    <row r="27">
      <c r="A27" s="82" t="s">
        <v>64</v>
      </c>
      <c r="B27" s="83"/>
      <c r="C27" s="83"/>
      <c r="D27" s="83"/>
      <c r="E27" s="84"/>
      <c r="F27" s="85" t="s">
        <v>4</v>
      </c>
      <c r="G27" s="86" t="s">
        <v>4</v>
      </c>
      <c r="H27" s="86" t="s">
        <v>4</v>
      </c>
      <c r="I27" s="87">
        <f>SUM(I21:I26)</f>
      </c>
    </row>
    <row r="29">
      <c r="A29" s="88" t="s">
        <v>65</v>
      </c>
      <c r="B29" s="89"/>
      <c r="C29" s="89"/>
      <c r="D29" s="89"/>
      <c r="E29" s="90"/>
      <c r="F29" s="91">
        <f>I18+I27</f>
      </c>
      <c r="G29" s="92"/>
      <c r="H29" s="92"/>
      <c r="I29" s="93"/>
    </row>
    <row r="33">
      <c r="A33" s="67" t="s">
        <v>66</v>
      </c>
      <c r="B33" s="67"/>
      <c r="C33" s="67"/>
      <c r="D33" s="67"/>
      <c r="E33" s="67"/>
    </row>
    <row r="34">
      <c r="A34" s="68" t="s">
        <v>67</v>
      </c>
      <c r="B34" s="69"/>
      <c r="C34" s="69"/>
      <c r="D34" s="69"/>
      <c r="E34" s="70"/>
      <c r="F34" s="71" t="s">
        <v>60</v>
      </c>
      <c r="G34" s="71" t="s">
        <v>61</v>
      </c>
      <c r="H34" s="71" t="s">
        <v>62</v>
      </c>
      <c r="I34" s="71" t="s">
        <v>60</v>
      </c>
    </row>
    <row r="35">
      <c r="A35" s="72" t="s">
        <v>68</v>
      </c>
      <c r="B35" s="73"/>
      <c r="C35" s="73"/>
      <c r="D35" s="73"/>
      <c r="E35" s="74"/>
      <c r="F35" s="75">
        <f>SUM('Stavební rozpočet'!BM12:BM62)</f>
      </c>
      <c r="G35" s="76" t="s">
        <v>4</v>
      </c>
      <c r="H35" s="76" t="s">
        <v>4</v>
      </c>
      <c r="I35" s="75">
        <f>F35</f>
      </c>
    </row>
    <row r="36">
      <c r="A36" s="72" t="s">
        <v>69</v>
      </c>
      <c r="B36" s="73"/>
      <c r="C36" s="73"/>
      <c r="D36" s="73"/>
      <c r="E36" s="74"/>
      <c r="F36" s="75">
        <f>SUM('Stavební rozpočet'!BN12:BN62)</f>
      </c>
      <c r="G36" s="76" t="s">
        <v>4</v>
      </c>
      <c r="H36" s="76" t="s">
        <v>4</v>
      </c>
      <c r="I36" s="75">
        <f>F36</f>
      </c>
    </row>
    <row r="37">
      <c r="A37" s="72" t="s">
        <v>25</v>
      </c>
      <c r="B37" s="73"/>
      <c r="C37" s="73"/>
      <c r="D37" s="73"/>
      <c r="E37" s="74"/>
      <c r="F37" s="75">
        <f>SUM('Stavební rozpočet'!BO12:BO62)</f>
      </c>
      <c r="G37" s="76" t="s">
        <v>4</v>
      </c>
      <c r="H37" s="76" t="s">
        <v>4</v>
      </c>
      <c r="I37" s="75">
        <f>F37</f>
      </c>
    </row>
    <row r="38">
      <c r="A38" s="72" t="s">
        <v>70</v>
      </c>
      <c r="B38" s="73"/>
      <c r="C38" s="73"/>
      <c r="D38" s="73"/>
      <c r="E38" s="74"/>
      <c r="F38" s="75">
        <f>SUM('Stavební rozpočet'!BP12:BP62)</f>
      </c>
      <c r="G38" s="76" t="s">
        <v>4</v>
      </c>
      <c r="H38" s="76" t="s">
        <v>4</v>
      </c>
      <c r="I38" s="75">
        <f>F38</f>
      </c>
    </row>
    <row r="39">
      <c r="A39" s="72" t="s">
        <v>71</v>
      </c>
      <c r="B39" s="73"/>
      <c r="C39" s="73"/>
      <c r="D39" s="73"/>
      <c r="E39" s="74"/>
      <c r="F39" s="75">
        <f>SUM('Stavební rozpočet'!BQ12:BQ62)</f>
      </c>
      <c r="G39" s="76" t="s">
        <v>4</v>
      </c>
      <c r="H39" s="76" t="s">
        <v>4</v>
      </c>
      <c r="I39" s="75">
        <f>F39</f>
      </c>
    </row>
    <row r="40">
      <c r="A40" s="72" t="s">
        <v>31</v>
      </c>
      <c r="B40" s="73"/>
      <c r="C40" s="73"/>
      <c r="D40" s="73"/>
      <c r="E40" s="74"/>
      <c r="F40" s="75">
        <f>SUM('Stavební rozpočet'!BR12:BR62)</f>
      </c>
      <c r="G40" s="76" t="s">
        <v>4</v>
      </c>
      <c r="H40" s="76" t="s">
        <v>4</v>
      </c>
      <c r="I40" s="75">
        <f>F40</f>
      </c>
    </row>
    <row r="41">
      <c r="A41" s="72" t="s">
        <v>32</v>
      </c>
      <c r="B41" s="73"/>
      <c r="C41" s="73"/>
      <c r="D41" s="73"/>
      <c r="E41" s="74"/>
      <c r="F41" s="75">
        <f>SUM('Stavební rozpočet'!BS12:BS62)</f>
      </c>
      <c r="G41" s="76" t="s">
        <v>4</v>
      </c>
      <c r="H41" s="76" t="s">
        <v>4</v>
      </c>
      <c r="I41" s="75">
        <f>F41</f>
      </c>
    </row>
    <row r="42">
      <c r="A42" s="72" t="s">
        <v>72</v>
      </c>
      <c r="B42" s="73"/>
      <c r="C42" s="73"/>
      <c r="D42" s="73"/>
      <c r="E42" s="74"/>
      <c r="F42" s="75">
        <f>SUM('Stavební rozpočet'!BT12:BT62)</f>
      </c>
      <c r="G42" s="76" t="s">
        <v>4</v>
      </c>
      <c r="H42" s="76" t="s">
        <v>4</v>
      </c>
      <c r="I42" s="75">
        <f>F42</f>
      </c>
    </row>
    <row r="43">
      <c r="A43" s="72" t="s">
        <v>73</v>
      </c>
      <c r="B43" s="73"/>
      <c r="C43" s="73"/>
      <c r="D43" s="73"/>
      <c r="E43" s="74"/>
      <c r="F43" s="75">
        <f>SUM('Stavební rozpočet'!BU12:BU62)</f>
      </c>
      <c r="G43" s="76" t="s">
        <v>4</v>
      </c>
      <c r="H43" s="76" t="s">
        <v>4</v>
      </c>
      <c r="I43" s="75">
        <f>F43</f>
      </c>
    </row>
    <row r="44">
      <c r="A44" s="77" t="s">
        <v>74</v>
      </c>
      <c r="B44" s="78"/>
      <c r="C44" s="78"/>
      <c r="D44" s="78"/>
      <c r="E44" s="79"/>
      <c r="F44" s="80">
        <f>SUM('Stavební rozpočet'!BV12:BV62)</f>
      </c>
      <c r="G44" s="81" t="s">
        <v>4</v>
      </c>
      <c r="H44" s="81" t="s">
        <v>4</v>
      </c>
      <c r="I44" s="80">
        <f>F44</f>
      </c>
    </row>
    <row r="45">
      <c r="A45" s="82" t="s">
        <v>75</v>
      </c>
      <c r="B45" s="83"/>
      <c r="C45" s="83"/>
      <c r="D45" s="83"/>
      <c r="E45" s="84"/>
      <c r="F45" s="85" t="s">
        <v>4</v>
      </c>
      <c r="G45" s="86" t="s">
        <v>4</v>
      </c>
      <c r="H45" s="86" t="s">
        <v>4</v>
      </c>
      <c r="I45" s="87">
        <f>SUM(I35:I44)</f>
      </c>
    </row>
  </sheetData>
  <mergeCells>
    <mergeCell ref="A1:I1"/>
    <mergeCell ref="A2:B3"/>
    <mergeCell ref="A4:B5"/>
    <mergeCell ref="A6:B7"/>
    <mergeCell ref="A8:B9"/>
    <mergeCell ref="A10:B11"/>
    <mergeCell ref="E2:E3"/>
    <mergeCell ref="E4:E5"/>
    <mergeCell ref="E6:E7"/>
    <mergeCell ref="E8:E9"/>
    <mergeCell ref="E10:E11"/>
    <mergeCell ref="H2:H3"/>
    <mergeCell ref="H4:H5"/>
    <mergeCell ref="H6:H7"/>
    <mergeCell ref="H8:H9"/>
    <mergeCell ref="H10:H11"/>
    <mergeCell ref="C2:D3"/>
    <mergeCell ref="C4:D5"/>
    <mergeCell ref="C6:D7"/>
    <mergeCell ref="C8:D9"/>
    <mergeCell ref="C10:D11"/>
    <mergeCell ref="F2:G3"/>
    <mergeCell ref="F4:G5"/>
    <mergeCell ref="F6:G7"/>
    <mergeCell ref="F8:G9"/>
    <mergeCell ref="F10:G11"/>
    <mergeCell ref="I2:I3"/>
    <mergeCell ref="I4:I5"/>
    <mergeCell ref="I6:I7"/>
    <mergeCell ref="I8:I9"/>
    <mergeCell ref="I10:I11"/>
    <mergeCell ref="A13:E13"/>
    <mergeCell ref="A14:E14"/>
    <mergeCell ref="A15:E15"/>
    <mergeCell ref="A16:E16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29:E29"/>
    <mergeCell ref="F29:I29"/>
    <mergeCell ref="A33:E33"/>
    <mergeCell ref="A34:E34"/>
    <mergeCell ref="A35:E35"/>
    <mergeCell ref="A36:E36"/>
    <mergeCell ref="A37:E37"/>
    <mergeCell ref="A38:E38"/>
    <mergeCell ref="A39:E39"/>
    <mergeCell ref="A40:E40"/>
    <mergeCell ref="A41:E41"/>
    <mergeCell ref="A42:E42"/>
    <mergeCell ref="A43:E43"/>
    <mergeCell ref="A44:E44"/>
    <mergeCell ref="A45:E45"/>
  </mergeCells>
  <pageMargins left="0.393999993801117" top="0.591000020503998" right="0.393999993801117" bottom="0.591000020503998" header="0" footer="0"/>
  <pageSetup orientation="landscape" fitToHeight="0" fitToWidth="1" cellComments="none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outlinePr summaryBelow="true" summaryRight="true"/>
    <pageSetUpPr fitToPage="true"/>
  </sheetPr>
  <dimension ref="A1:P23"/>
  <sheetViews>
    <sheetView workbookViewId="0" showZeros="true" showFormulas="false" showGridLines="true" showRowColHeaders="true">
      <pane topLeftCell="A12" state="frozen" activePane="bottomLeft" ySplit="11"/>
      <selection pane="bottomLeft" sqref="A23:L23" activeCell="A23"/>
    </sheetView>
  </sheetViews>
  <sheetFormatPr defaultColWidth="12.140625" customHeight="true" defaultRowHeight="15"/>
  <cols>
    <col max="1" min="1" style="0" width="5.7109375" customWidth="true"/>
    <col max="9" min="2" style="0" width="15.7109375" customWidth="true"/>
    <col max="12" min="10" style="0" width="14.28515625" customWidth="true"/>
    <col max="16" min="13" style="0" width="12.140625" hidden="true"/>
  </cols>
  <sheetData>
    <row r="1" customHeight="true" ht="54.75">
      <c r="A1" s="2" t="s">
        <v>76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>
      <c r="A2" s="3" t="s">
        <v>1</v>
      </c>
      <c r="B2" s="4"/>
      <c r="C2" s="4"/>
      <c r="D2" s="5">
        <f>'Stavební rozpočet'!C2</f>
      </c>
      <c r="E2" s="6"/>
      <c r="F2" s="6"/>
      <c r="G2" s="7" t="s">
        <v>77</v>
      </c>
      <c r="H2" s="7">
        <f>'Stavební rozpočet'!G2</f>
      </c>
      <c r="I2" s="7" t="s">
        <v>2</v>
      </c>
      <c r="J2" s="7">
        <f>'Stavební rozpočet'!I2</f>
      </c>
      <c r="K2" s="4"/>
      <c r="L2" s="8"/>
    </row>
    <row r="3" customHeight="true" ht="25.5">
      <c r="A3" s="9"/>
      <c r="B3" s="10"/>
      <c r="C3" s="10"/>
      <c r="D3" s="11"/>
      <c r="E3" s="11"/>
      <c r="F3" s="11"/>
      <c r="G3" s="10"/>
      <c r="H3" s="10"/>
      <c r="I3" s="10"/>
      <c r="J3" s="10"/>
      <c r="K3" s="10"/>
      <c r="L3" s="12"/>
    </row>
    <row r="4">
      <c r="A4" s="13" t="s">
        <v>5</v>
      </c>
      <c r="B4" s="10"/>
      <c r="C4" s="10"/>
      <c r="D4" s="14">
        <f>'Stavební rozpočet'!C4</f>
      </c>
      <c r="E4" s="10"/>
      <c r="F4" s="10"/>
      <c r="G4" s="14" t="s">
        <v>9</v>
      </c>
      <c r="H4" s="14">
        <f>'Stavební rozpočet'!G4</f>
      </c>
      <c r="I4" s="14" t="s">
        <v>6</v>
      </c>
      <c r="J4" s="14">
        <f>'Stavební rozpočet'!I4</f>
      </c>
      <c r="K4" s="10"/>
      <c r="L4" s="12"/>
    </row>
    <row r="5" customHeight="true" ht="15">
      <c r="A5" s="9"/>
      <c r="B5" s="10"/>
      <c r="C5" s="10"/>
      <c r="D5" s="10"/>
      <c r="E5" s="10"/>
      <c r="F5" s="10"/>
      <c r="G5" s="10"/>
      <c r="H5" s="10"/>
      <c r="I5" s="10"/>
      <c r="J5" s="10"/>
      <c r="K5" s="10"/>
      <c r="L5" s="12"/>
    </row>
    <row r="6">
      <c r="A6" s="13" t="s">
        <v>7</v>
      </c>
      <c r="B6" s="10"/>
      <c r="C6" s="10"/>
      <c r="D6" s="14">
        <f>'Stavební rozpočet'!C6</f>
      </c>
      <c r="E6" s="10"/>
      <c r="F6" s="10"/>
      <c r="G6" s="14" t="s">
        <v>10</v>
      </c>
      <c r="H6" s="14">
        <f>'Stavební rozpočet'!G6</f>
      </c>
      <c r="I6" s="14" t="s">
        <v>8</v>
      </c>
      <c r="J6" s="14">
        <f>'Stavební rozpočet'!I6</f>
      </c>
      <c r="K6" s="10"/>
      <c r="L6" s="12"/>
    </row>
    <row r="7" customHeight="true" ht="15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2"/>
    </row>
    <row r="8">
      <c r="A8" s="13" t="s">
        <v>12</v>
      </c>
      <c r="B8" s="10"/>
      <c r="C8" s="10"/>
      <c r="D8" s="14">
        <f>'Stavební rozpočet'!C8</f>
      </c>
      <c r="E8" s="10"/>
      <c r="F8" s="10"/>
      <c r="G8" s="14" t="s">
        <v>78</v>
      </c>
      <c r="H8" s="14">
        <f>'Stavební rozpočet'!G8</f>
      </c>
      <c r="I8" s="14" t="s">
        <v>13</v>
      </c>
      <c r="J8" s="14">
        <f>'Stavební rozpočet'!I8</f>
      </c>
      <c r="K8" s="10"/>
      <c r="L8" s="12"/>
    </row>
    <row r="9">
      <c r="A9" s="94"/>
      <c r="B9" s="95"/>
      <c r="C9" s="95"/>
      <c r="D9" s="95"/>
      <c r="E9" s="95"/>
      <c r="F9" s="95"/>
      <c r="G9" s="95"/>
      <c r="H9" s="95"/>
      <c r="I9" s="95"/>
      <c r="J9" s="95"/>
      <c r="K9" s="95"/>
      <c r="L9" s="96"/>
    </row>
    <row r="10">
      <c r="A10" s="97" t="s">
        <v>79</v>
      </c>
      <c r="B10" s="98" t="s">
        <v>79</v>
      </c>
      <c r="C10" s="99"/>
      <c r="D10" s="99"/>
      <c r="E10" s="99"/>
      <c r="F10" s="99"/>
      <c r="G10" s="99"/>
      <c r="H10" s="99"/>
      <c r="I10" s="100"/>
      <c r="J10" s="101" t="s">
        <v>80</v>
      </c>
      <c r="K10" s="102"/>
      <c r="L10" s="103"/>
    </row>
    <row r="11">
      <c r="A11" s="104" t="s">
        <v>81</v>
      </c>
      <c r="B11" s="105" t="s">
        <v>82</v>
      </c>
      <c r="C11" s="106"/>
      <c r="D11" s="106"/>
      <c r="E11" s="106"/>
      <c r="F11" s="106"/>
      <c r="G11" s="106"/>
      <c r="H11" s="106"/>
      <c r="I11" s="107"/>
      <c r="J11" s="108" t="s">
        <v>83</v>
      </c>
      <c r="K11" s="109" t="s">
        <v>26</v>
      </c>
      <c r="L11" s="110" t="s">
        <v>84</v>
      </c>
    </row>
    <row r="12">
      <c r="A12" s="111" t="s">
        <v>4</v>
      </c>
      <c r="B12" s="112" t="s">
        <v>85</v>
      </c>
      <c r="C12" s="112"/>
      <c r="D12" s="112"/>
      <c r="E12" s="112"/>
      <c r="F12" s="112"/>
      <c r="G12" s="112"/>
      <c r="H12" s="112"/>
      <c r="I12" s="112"/>
      <c r="J12" s="113">
        <f>'Stavební rozpočet'!H12</f>
      </c>
      <c r="K12" s="113">
        <f>'Stavební rozpočet'!I12</f>
      </c>
      <c r="L12" s="114">
        <f>'Stavební rozpočet'!J12</f>
      </c>
      <c r="M12" s="115" t="s">
        <v>86</v>
      </c>
      <c r="N12" s="116">
        <f>IF(M12="F",0,L12)</f>
      </c>
      <c r="O12" s="10" t="s">
        <v>4</v>
      </c>
      <c r="P12" s="116">
        <f>IF(M12="T",0,L12)</f>
      </c>
    </row>
    <row r="13">
      <c r="A13" s="9" t="s">
        <v>87</v>
      </c>
      <c r="B13" s="10" t="s">
        <v>88</v>
      </c>
      <c r="C13" s="10"/>
      <c r="D13" s="10"/>
      <c r="E13" s="10"/>
      <c r="F13" s="10"/>
      <c r="G13" s="10"/>
      <c r="H13" s="10"/>
      <c r="I13" s="10"/>
      <c r="J13" s="116">
        <f>'Stavební rozpočet'!H13</f>
      </c>
      <c r="K13" s="116">
        <f>'Stavební rozpočet'!I13</f>
      </c>
      <c r="L13" s="117">
        <f>'Stavební rozpočet'!J13</f>
      </c>
      <c r="M13" s="115" t="s">
        <v>89</v>
      </c>
      <c r="N13" s="116">
        <f>IF(M13="F",0,L13)</f>
      </c>
      <c r="O13" s="10" t="s">
        <v>4</v>
      </c>
      <c r="P13" s="116">
        <f>IF(M13="T",0,L13)</f>
      </c>
    </row>
    <row r="14">
      <c r="A14" s="9" t="s">
        <v>90</v>
      </c>
      <c r="B14" s="10" t="s">
        <v>91</v>
      </c>
      <c r="C14" s="10"/>
      <c r="D14" s="10"/>
      <c r="E14" s="10"/>
      <c r="F14" s="10"/>
      <c r="G14" s="10"/>
      <c r="H14" s="10"/>
      <c r="I14" s="10"/>
      <c r="J14" s="116">
        <f>'Stavební rozpočet'!H25</f>
      </c>
      <c r="K14" s="116">
        <f>'Stavební rozpočet'!I25</f>
      </c>
      <c r="L14" s="117">
        <f>'Stavební rozpočet'!J25</f>
      </c>
      <c r="M14" s="115" t="s">
        <v>89</v>
      </c>
      <c r="N14" s="116">
        <f>IF(M14="F",0,L14)</f>
      </c>
      <c r="O14" s="10" t="s">
        <v>4</v>
      </c>
      <c r="P14" s="116">
        <f>IF(M14="T",0,L14)</f>
      </c>
    </row>
    <row r="15">
      <c r="A15" s="9" t="s">
        <v>92</v>
      </c>
      <c r="B15" s="10" t="s">
        <v>93</v>
      </c>
      <c r="C15" s="10"/>
      <c r="D15" s="10"/>
      <c r="E15" s="10"/>
      <c r="F15" s="10"/>
      <c r="G15" s="10"/>
      <c r="H15" s="10"/>
      <c r="I15" s="10"/>
      <c r="J15" s="116">
        <f>'Stavební rozpočet'!H34</f>
      </c>
      <c r="K15" s="116">
        <f>'Stavební rozpočet'!I34</f>
      </c>
      <c r="L15" s="117">
        <f>'Stavební rozpočet'!J34</f>
      </c>
      <c r="M15" s="115" t="s">
        <v>89</v>
      </c>
      <c r="N15" s="116">
        <f>IF(M15="F",0,L15)</f>
      </c>
      <c r="O15" s="10" t="s">
        <v>4</v>
      </c>
      <c r="P15" s="116">
        <f>IF(M15="T",0,L15)</f>
      </c>
    </row>
    <row r="16">
      <c r="A16" s="9" t="s">
        <v>94</v>
      </c>
      <c r="B16" s="10" t="s">
        <v>95</v>
      </c>
      <c r="C16" s="10"/>
      <c r="D16" s="10"/>
      <c r="E16" s="10"/>
      <c r="F16" s="10"/>
      <c r="G16" s="10"/>
      <c r="H16" s="10"/>
      <c r="I16" s="10"/>
      <c r="J16" s="116">
        <f>'Stavební rozpočet'!H41</f>
      </c>
      <c r="K16" s="116">
        <f>'Stavební rozpočet'!I41</f>
      </c>
      <c r="L16" s="117">
        <f>'Stavební rozpočet'!J41</f>
      </c>
      <c r="M16" s="115" t="s">
        <v>89</v>
      </c>
      <c r="N16" s="116">
        <f>IF(M16="F",0,L16)</f>
      </c>
      <c r="O16" s="10" t="s">
        <v>4</v>
      </c>
      <c r="P16" s="116">
        <f>IF(M16="T",0,L16)</f>
      </c>
    </row>
    <row r="17">
      <c r="A17" s="9" t="s">
        <v>96</v>
      </c>
      <c r="B17" s="10" t="s">
        <v>97</v>
      </c>
      <c r="C17" s="10"/>
      <c r="D17" s="10"/>
      <c r="E17" s="10"/>
      <c r="F17" s="10"/>
      <c r="G17" s="10"/>
      <c r="H17" s="10"/>
      <c r="I17" s="10"/>
      <c r="J17" s="116">
        <f>'Stavební rozpočet'!H55</f>
      </c>
      <c r="K17" s="116">
        <f>'Stavební rozpočet'!I55</f>
      </c>
      <c r="L17" s="117">
        <f>'Stavební rozpočet'!J55</f>
      </c>
      <c r="M17" s="115" t="s">
        <v>89</v>
      </c>
      <c r="N17" s="116">
        <f>IF(M17="F",0,L17)</f>
      </c>
      <c r="O17" s="10" t="s">
        <v>4</v>
      </c>
      <c r="P17" s="116">
        <f>IF(M17="T",0,L17)</f>
      </c>
    </row>
    <row r="18">
      <c r="A18" s="9" t="s">
        <v>98</v>
      </c>
      <c r="B18" s="10" t="s">
        <v>99</v>
      </c>
      <c r="C18" s="10"/>
      <c r="D18" s="10"/>
      <c r="E18" s="10"/>
      <c r="F18" s="10"/>
      <c r="G18" s="10"/>
      <c r="H18" s="10"/>
      <c r="I18" s="10"/>
      <c r="J18" s="116">
        <f>'Stavební rozpočet'!H57</f>
      </c>
      <c r="K18" s="116">
        <f>'Stavební rozpočet'!I57</f>
      </c>
      <c r="L18" s="117">
        <f>'Stavební rozpočet'!J57</f>
      </c>
      <c r="M18" s="115" t="s">
        <v>89</v>
      </c>
      <c r="N18" s="116">
        <f>IF(M18="F",0,L18)</f>
      </c>
      <c r="O18" s="10" t="s">
        <v>4</v>
      </c>
      <c r="P18" s="116">
        <f>IF(M18="T",0,L18)</f>
      </c>
    </row>
    <row r="19">
      <c r="A19" s="9" t="s">
        <v>100</v>
      </c>
      <c r="B19" s="10" t="s">
        <v>57</v>
      </c>
      <c r="C19" s="10"/>
      <c r="D19" s="10"/>
      <c r="E19" s="10"/>
      <c r="F19" s="10"/>
      <c r="G19" s="10"/>
      <c r="H19" s="10"/>
      <c r="I19" s="10"/>
      <c r="J19" s="116">
        <f>'Stavební rozpočet'!H59</f>
      </c>
      <c r="K19" s="116">
        <f>'Stavební rozpočet'!I59</f>
      </c>
      <c r="L19" s="117">
        <f>'Stavební rozpočet'!J59</f>
      </c>
      <c r="M19" s="115" t="s">
        <v>86</v>
      </c>
      <c r="N19" s="116">
        <f>IF(M19="F",0,L19)</f>
      </c>
      <c r="O19" s="10" t="s">
        <v>4</v>
      </c>
      <c r="P19" s="116">
        <f>IF(M19="T",0,L19)</f>
      </c>
    </row>
    <row r="20">
      <c r="A20" s="17" t="s">
        <v>101</v>
      </c>
      <c r="B20" s="18" t="s">
        <v>73</v>
      </c>
      <c r="C20" s="18"/>
      <c r="D20" s="18"/>
      <c r="E20" s="18"/>
      <c r="F20" s="18"/>
      <c r="G20" s="18"/>
      <c r="H20" s="18"/>
      <c r="I20" s="18"/>
      <c r="J20" s="118">
        <f>'Stavební rozpočet'!H60</f>
      </c>
      <c r="K20" s="118">
        <f>'Stavební rozpočet'!I60</f>
      </c>
      <c r="L20" s="119">
        <f>'Stavební rozpočet'!J60</f>
      </c>
      <c r="M20" s="115" t="s">
        <v>89</v>
      </c>
      <c r="N20" s="116">
        <f>IF(M20="F",0,L20)</f>
      </c>
      <c r="O20" s="10" t="s">
        <v>4</v>
      </c>
      <c r="P20" s="116">
        <f>IF(M20="T",0,L20)</f>
      </c>
    </row>
    <row r="21">
      <c r="J21" s="120" t="s">
        <v>102</v>
      </c>
      <c r="K21" s="120"/>
      <c r="L21" s="121">
        <f>SUM(N12:N20)</f>
      </c>
    </row>
    <row r="22">
      <c r="A22" s="122" t="s">
        <v>56</v>
      </c>
    </row>
    <row r="23" customHeight="true" ht="12.75">
      <c r="A23" s="14" t="s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</row>
  </sheetData>
  <mergeCells>
    <mergeCell ref="A1:L1"/>
    <mergeCell ref="A2:C3"/>
    <mergeCell ref="A4:C5"/>
    <mergeCell ref="A6:C7"/>
    <mergeCell ref="A8:C9"/>
    <mergeCell ref="D2:F3"/>
    <mergeCell ref="D4:F5"/>
    <mergeCell ref="D6:F7"/>
    <mergeCell ref="D8:F9"/>
    <mergeCell ref="G2:G3"/>
    <mergeCell ref="G4:G5"/>
    <mergeCell ref="G6:G7"/>
    <mergeCell ref="G8:G9"/>
    <mergeCell ref="H2:H3"/>
    <mergeCell ref="H4:H5"/>
    <mergeCell ref="H6:H7"/>
    <mergeCell ref="H8:H9"/>
    <mergeCell ref="I2:I3"/>
    <mergeCell ref="I4:I5"/>
    <mergeCell ref="I6:I7"/>
    <mergeCell ref="I8:I9"/>
    <mergeCell ref="J2:L3"/>
    <mergeCell ref="J4:L5"/>
    <mergeCell ref="J6:L7"/>
    <mergeCell ref="J8:L9"/>
    <mergeCell ref="B10:I10"/>
    <mergeCell ref="B11:I11"/>
    <mergeCell ref="J10:L10"/>
    <mergeCell ref="B12:I12"/>
    <mergeCell ref="B13:I13"/>
    <mergeCell ref="B14:I14"/>
    <mergeCell ref="B15:I15"/>
    <mergeCell ref="B16:I16"/>
    <mergeCell ref="B17:I17"/>
    <mergeCell ref="B18:I18"/>
    <mergeCell ref="B19:I19"/>
    <mergeCell ref="B20:I20"/>
    <mergeCell ref="J21:K21"/>
    <mergeCell ref="A23:L23"/>
  </mergeCells>
  <pageMargins left="0.393999993801117" top="0.591000020503998" right="0.393999993801117" bottom="0.591000020503998" header="0" footer="0"/>
  <pageSetup orientation="landscape" fitToHeight="0" fitToWidth="1" cellComments="none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outlinePr summaryBelow="true" summaryRight="true"/>
    <pageSetUpPr fitToPage="true"/>
  </sheetPr>
  <dimension ref="A1:BX65"/>
  <sheetViews>
    <sheetView workbookViewId="0" showZeros="true" showFormulas="false" showGridLines="true" showRowColHeaders="true">
      <pane topLeftCell="A12" state="frozen" activePane="bottomLeft" ySplit="11"/>
      <selection pane="bottomLeft" sqref="A65:K65" activeCell="A65"/>
    </sheetView>
  </sheetViews>
  <sheetFormatPr defaultColWidth="12.140625" customHeight="true" defaultRowHeight="15"/>
  <cols>
    <col max="1" min="1" style="0" width="3.99609375" customWidth="true"/>
    <col max="2" min="2" style="0" width="17.85546875" customWidth="true"/>
    <col max="3" min="3" style="0" width="42.85546875" customWidth="true"/>
    <col max="4" min="4" style="0" width="35.7109375" customWidth="true"/>
    <col max="5" min="5" style="0" width="6.42578125" customWidth="true"/>
    <col max="6" min="6" style="0" width="12.85546875" customWidth="true"/>
    <col max="7" min="7" style="0" width="12" customWidth="true"/>
    <col max="10" min="8" style="0" width="15.7109375" customWidth="true"/>
    <col max="11" min="11" style="0" width="13.42578125" customWidth="true"/>
    <col max="75" min="25" style="0" width="12.140625" hidden="true"/>
    <col max="76" min="76" style="0" width="78.5703125" customWidth="true" hidden="true"/>
    <col max="78" min="77" style="0" width="12.140625" hidden="true"/>
  </cols>
  <sheetData>
    <row r="1" customHeight="true" ht="54.75">
      <c r="A1" s="2" t="s">
        <v>103</v>
      </c>
      <c r="B1" s="2"/>
      <c r="C1" s="2"/>
      <c r="D1" s="2"/>
      <c r="E1" s="2"/>
      <c r="F1" s="2"/>
      <c r="G1" s="2"/>
      <c r="H1" s="2"/>
      <c r="I1" s="2"/>
      <c r="J1" s="2"/>
      <c r="K1" s="2"/>
      <c r="AS1" s="123">
        <f>SUM(AJ1:AJ2)</f>
      </c>
      <c r="AT1" s="123">
        <f>SUM(AK1:AK2)</f>
      </c>
      <c r="AU1" s="123">
        <f>SUM(AL1:AL2)</f>
      </c>
    </row>
    <row r="2">
      <c r="A2" s="3" t="s">
        <v>1</v>
      </c>
      <c r="B2" s="4"/>
      <c r="C2" s="5" t="s">
        <v>104</v>
      </c>
      <c r="D2" s="6"/>
      <c r="E2" s="4" t="s">
        <v>77</v>
      </c>
      <c r="F2" s="4"/>
      <c r="G2" s="4" t="s">
        <v>79</v>
      </c>
      <c r="H2" s="7" t="s">
        <v>2</v>
      </c>
      <c r="I2" s="7" t="s">
        <v>105</v>
      </c>
      <c r="J2" s="4"/>
      <c r="K2" s="8"/>
    </row>
    <row r="3">
      <c r="A3" s="9"/>
      <c r="B3" s="10"/>
      <c r="C3" s="11"/>
      <c r="D3" s="11"/>
      <c r="E3" s="10"/>
      <c r="F3" s="10"/>
      <c r="G3" s="10"/>
      <c r="H3" s="10"/>
      <c r="I3" s="10"/>
      <c r="J3" s="10"/>
      <c r="K3" s="12"/>
    </row>
    <row r="4">
      <c r="A4" s="13" t="s">
        <v>5</v>
      </c>
      <c r="B4" s="10"/>
      <c r="C4" s="14" t="s">
        <v>106</v>
      </c>
      <c r="D4" s="10"/>
      <c r="E4" s="10" t="s">
        <v>9</v>
      </c>
      <c r="F4" s="10"/>
      <c r="G4" s="10" t="s">
        <v>79</v>
      </c>
      <c r="H4" s="14" t="s">
        <v>6</v>
      </c>
      <c r="I4" s="10" t="s">
        <v>107</v>
      </c>
      <c r="J4" s="10"/>
      <c r="K4" s="12"/>
    </row>
    <row r="5">
      <c r="A5" s="9"/>
      <c r="B5" s="10"/>
      <c r="C5" s="10"/>
      <c r="D5" s="10"/>
      <c r="E5" s="10"/>
      <c r="F5" s="10"/>
      <c r="G5" s="10"/>
      <c r="H5" s="10"/>
      <c r="I5" s="10"/>
      <c r="J5" s="10"/>
      <c r="K5" s="12"/>
    </row>
    <row r="6">
      <c r="A6" s="13" t="s">
        <v>7</v>
      </c>
      <c r="B6" s="10"/>
      <c r="C6" s="14" t="s">
        <v>108</v>
      </c>
      <c r="D6" s="10"/>
      <c r="E6" s="10" t="s">
        <v>10</v>
      </c>
      <c r="F6" s="10"/>
      <c r="G6" s="10" t="s">
        <v>79</v>
      </c>
      <c r="H6" s="14" t="s">
        <v>8</v>
      </c>
      <c r="I6" s="10" t="s">
        <v>107</v>
      </c>
      <c r="J6" s="10"/>
      <c r="K6" s="12"/>
    </row>
    <row r="7">
      <c r="A7" s="9"/>
      <c r="B7" s="10"/>
      <c r="C7" s="10"/>
      <c r="D7" s="10"/>
      <c r="E7" s="10"/>
      <c r="F7" s="10"/>
      <c r="G7" s="10"/>
      <c r="H7" s="10"/>
      <c r="I7" s="10"/>
      <c r="J7" s="10"/>
      <c r="K7" s="12"/>
    </row>
    <row r="8">
      <c r="A8" s="13" t="s">
        <v>12</v>
      </c>
      <c r="B8" s="10"/>
      <c r="C8" s="14" t="s">
        <v>79</v>
      </c>
      <c r="D8" s="10"/>
      <c r="E8" s="10" t="s">
        <v>78</v>
      </c>
      <c r="F8" s="10"/>
      <c r="G8" s="10" t="s">
        <v>109</v>
      </c>
      <c r="H8" s="14" t="s">
        <v>13</v>
      </c>
      <c r="I8" s="10" t="s">
        <v>107</v>
      </c>
      <c r="J8" s="10"/>
      <c r="K8" s="12"/>
    </row>
    <row r="9">
      <c r="A9" s="94"/>
      <c r="B9" s="95"/>
      <c r="C9" s="95"/>
      <c r="D9" s="95"/>
      <c r="E9" s="95"/>
      <c r="F9" s="95"/>
      <c r="G9" s="95"/>
      <c r="H9" s="95"/>
      <c r="I9" s="95"/>
      <c r="J9" s="95"/>
      <c r="K9" s="96"/>
    </row>
    <row r="10">
      <c r="A10" s="124" t="s">
        <v>110</v>
      </c>
      <c r="B10" s="125" t="s">
        <v>81</v>
      </c>
      <c r="C10" s="126" t="s">
        <v>111</v>
      </c>
      <c r="D10" s="127"/>
      <c r="E10" s="125" t="s">
        <v>112</v>
      </c>
      <c r="F10" s="128" t="s">
        <v>113</v>
      </c>
      <c r="G10" s="129" t="s">
        <v>114</v>
      </c>
      <c r="H10" s="101" t="s">
        <v>80</v>
      </c>
      <c r="I10" s="102"/>
      <c r="J10" s="103"/>
      <c r="K10" s="130" t="s">
        <v>115</v>
      </c>
      <c r="BK10" s="131" t="s">
        <v>116</v>
      </c>
      <c r="BL10" s="132" t="s">
        <v>117</v>
      </c>
      <c r="BW10" s="132" t="s">
        <v>118</v>
      </c>
    </row>
    <row r="11">
      <c r="A11" s="133" t="s">
        <v>79</v>
      </c>
      <c r="B11" s="134" t="s">
        <v>79</v>
      </c>
      <c r="C11" s="105" t="s">
        <v>119</v>
      </c>
      <c r="D11" s="135"/>
      <c r="E11" s="134" t="s">
        <v>79</v>
      </c>
      <c r="F11" s="134" t="s">
        <v>79</v>
      </c>
      <c r="G11" s="136" t="s">
        <v>120</v>
      </c>
      <c r="H11" s="108" t="s">
        <v>83</v>
      </c>
      <c r="I11" s="109" t="s">
        <v>26</v>
      </c>
      <c r="J11" s="110" t="s">
        <v>84</v>
      </c>
      <c r="K11" s="137" t="s">
        <v>121</v>
      </c>
      <c r="Z11" s="131" t="s">
        <v>122</v>
      </c>
      <c r="AA11" s="131" t="s">
        <v>123</v>
      </c>
      <c r="AB11" s="131" t="s">
        <v>124</v>
      </c>
      <c r="AC11" s="131" t="s">
        <v>125</v>
      </c>
      <c r="AD11" s="131" t="s">
        <v>126</v>
      </c>
      <c r="AE11" s="131" t="s">
        <v>127</v>
      </c>
      <c r="AF11" s="131" t="s">
        <v>128</v>
      </c>
      <c r="AG11" s="131" t="s">
        <v>129</v>
      </c>
      <c r="AH11" s="131" t="s">
        <v>130</v>
      </c>
      <c r="BH11" s="131" t="s">
        <v>131</v>
      </c>
      <c r="BI11" s="131" t="s">
        <v>132</v>
      </c>
      <c r="BJ11" s="131" t="s">
        <v>133</v>
      </c>
    </row>
    <row r="12">
      <c r="A12" s="138" t="s">
        <v>4</v>
      </c>
      <c r="B12" s="139" t="s">
        <v>4</v>
      </c>
      <c r="C12" s="140" t="s">
        <v>85</v>
      </c>
      <c r="D12" s="139"/>
      <c r="E12" s="141" t="s">
        <v>79</v>
      </c>
      <c r="F12" s="141" t="s">
        <v>79</v>
      </c>
      <c r="G12" s="141" t="s">
        <v>79</v>
      </c>
      <c r="H12" s="142">
        <f>H13+H25+H34+H41+H55+H57+H60</f>
      </c>
      <c r="I12" s="142">
        <f>I13+I25+I34+I41+I55+I57+I60</f>
      </c>
      <c r="J12" s="142">
        <f>J13+J25+J34+J41+J55+J57+J60</f>
      </c>
      <c r="K12" s="143" t="s">
        <v>4</v>
      </c>
    </row>
    <row r="13">
      <c r="A13" s="144" t="s">
        <v>4</v>
      </c>
      <c r="B13" s="145" t="s">
        <v>87</v>
      </c>
      <c r="C13" s="146" t="s">
        <v>88</v>
      </c>
      <c r="D13" s="145"/>
      <c r="E13" s="147" t="s">
        <v>79</v>
      </c>
      <c r="F13" s="147" t="s">
        <v>79</v>
      </c>
      <c r="G13" s="147" t="s">
        <v>79</v>
      </c>
      <c r="H13" s="123">
        <f>SUM(H14:H24)</f>
      </c>
      <c r="I13" s="123">
        <f>SUM(I14:I24)</f>
      </c>
      <c r="J13" s="123">
        <f>SUM(J14:J24)</f>
      </c>
      <c r="K13" s="148" t="s">
        <v>4</v>
      </c>
      <c r="AI13" s="131" t="s">
        <v>4</v>
      </c>
      <c r="AS13" s="123">
        <f>SUM(AJ14:AJ24)</f>
      </c>
      <c r="AT13" s="123">
        <f>SUM(AK14:AK24)</f>
      </c>
      <c r="AU13" s="123">
        <f>SUM(AL14:AL24)</f>
      </c>
    </row>
    <row r="14">
      <c r="A14" s="9" t="s">
        <v>134</v>
      </c>
      <c r="B14" s="10" t="s">
        <v>135</v>
      </c>
      <c r="C14" s="14" t="s">
        <v>136</v>
      </c>
      <c r="D14" s="10"/>
      <c r="E14" s="10" t="s">
        <v>137</v>
      </c>
      <c r="F14" s="116" t="n">
        <v>4</v>
      </c>
      <c r="G14" s="116" t="n">
        <v>0</v>
      </c>
      <c r="H14" s="116">
        <f>F14*AO14</f>
      </c>
      <c r="I14" s="116">
        <f>F14*AP14</f>
      </c>
      <c r="J14" s="116">
        <f>F14*G14</f>
      </c>
      <c r="K14" s="149" t="s">
        <v>138</v>
      </c>
      <c r="Z14" s="116">
        <f>IF(AQ14="5",BJ14,0)</f>
      </c>
      <c r="AB14" s="116">
        <f>IF(AQ14="1",BH14,0)</f>
      </c>
      <c r="AC14" s="116">
        <f>IF(AQ14="1",BI14,0)</f>
      </c>
      <c r="AD14" s="116">
        <f>IF(AQ14="7",BH14,0)</f>
      </c>
      <c r="AE14" s="116">
        <f>IF(AQ14="7",BI14,0)</f>
      </c>
      <c r="AF14" s="116">
        <f>IF(AQ14="2",BH14,0)</f>
      </c>
      <c r="AG14" s="116">
        <f>IF(AQ14="2",BI14,0)</f>
      </c>
      <c r="AH14" s="116">
        <f>IF(AQ14="0",BJ14,0)</f>
      </c>
      <c r="AI14" s="131" t="s">
        <v>4</v>
      </c>
      <c r="AJ14" s="116">
        <f>IF(AN14=0,J14,0)</f>
      </c>
      <c r="AK14" s="116">
        <f>IF(AN14=12,J14,0)</f>
      </c>
      <c r="AL14" s="116">
        <f>IF(AN14=21,J14,0)</f>
      </c>
      <c r="AN14" s="116" t="n">
        <v>21</v>
      </c>
      <c r="AO14" s="116">
        <f>G14*0.212640449</f>
      </c>
      <c r="AP14" s="116">
        <f>G14*(1-0.212640449)</f>
      </c>
      <c r="AQ14" s="150" t="s">
        <v>134</v>
      </c>
      <c r="AV14" s="116">
        <f>AW14+AX14</f>
      </c>
      <c r="AW14" s="116">
        <f>F14*AO14</f>
      </c>
      <c r="AX14" s="116">
        <f>F14*AP14</f>
      </c>
      <c r="AY14" s="150" t="s">
        <v>139</v>
      </c>
      <c r="AZ14" s="150" t="s">
        <v>140</v>
      </c>
      <c r="BA14" s="131" t="s">
        <v>141</v>
      </c>
      <c r="BC14" s="116">
        <f>AW14+AX14</f>
      </c>
      <c r="BD14" s="116">
        <f>G14/(100-BE14)*100</f>
      </c>
      <c r="BE14" s="116" t="n">
        <v>0</v>
      </c>
      <c r="BF14" s="116">
        <f>14</f>
      </c>
      <c r="BH14" s="116">
        <f>F14*AO14</f>
      </c>
      <c r="BI14" s="116">
        <f>F14*AP14</f>
      </c>
      <c r="BJ14" s="116">
        <f>F14*G14</f>
      </c>
      <c r="BK14" s="116"/>
      <c r="BL14" s="116" t="n">
        <v>0</v>
      </c>
      <c r="BW14" s="116" t="n">
        <v>21</v>
      </c>
      <c r="BX14" s="14" t="s">
        <v>136</v>
      </c>
    </row>
    <row r="15">
      <c r="A15" s="9" t="s">
        <v>142</v>
      </c>
      <c r="B15" s="10" t="s">
        <v>143</v>
      </c>
      <c r="C15" s="14" t="s">
        <v>144</v>
      </c>
      <c r="D15" s="10"/>
      <c r="E15" s="10" t="s">
        <v>137</v>
      </c>
      <c r="F15" s="116" t="n">
        <v>18</v>
      </c>
      <c r="G15" s="116" t="n">
        <v>0</v>
      </c>
      <c r="H15" s="116">
        <f>F15*AO15</f>
      </c>
      <c r="I15" s="116">
        <f>F15*AP15</f>
      </c>
      <c r="J15" s="116">
        <f>F15*G15</f>
      </c>
      <c r="K15" s="149" t="s">
        <v>138</v>
      </c>
      <c r="Z15" s="116">
        <f>IF(AQ15="5",BJ15,0)</f>
      </c>
      <c r="AB15" s="116">
        <f>IF(AQ15="1",BH15,0)</f>
      </c>
      <c r="AC15" s="116">
        <f>IF(AQ15="1",BI15,0)</f>
      </c>
      <c r="AD15" s="116">
        <f>IF(AQ15="7",BH15,0)</f>
      </c>
      <c r="AE15" s="116">
        <f>IF(AQ15="7",BI15,0)</f>
      </c>
      <c r="AF15" s="116">
        <f>IF(AQ15="2",BH15,0)</f>
      </c>
      <c r="AG15" s="116">
        <f>IF(AQ15="2",BI15,0)</f>
      </c>
      <c r="AH15" s="116">
        <f>IF(AQ15="0",BJ15,0)</f>
      </c>
      <c r="AI15" s="131" t="s">
        <v>4</v>
      </c>
      <c r="AJ15" s="116">
        <f>IF(AN15=0,J15,0)</f>
      </c>
      <c r="AK15" s="116">
        <f>IF(AN15=12,J15,0)</f>
      </c>
      <c r="AL15" s="116">
        <f>IF(AN15=21,J15,0)</f>
      </c>
      <c r="AN15" s="116" t="n">
        <v>21</v>
      </c>
      <c r="AO15" s="116">
        <f>G15*0.212765957</f>
      </c>
      <c r="AP15" s="116">
        <f>G15*(1-0.212765957)</f>
      </c>
      <c r="AQ15" s="150" t="s">
        <v>134</v>
      </c>
      <c r="AV15" s="116">
        <f>AW15+AX15</f>
      </c>
      <c r="AW15" s="116">
        <f>F15*AO15</f>
      </c>
      <c r="AX15" s="116">
        <f>F15*AP15</f>
      </c>
      <c r="AY15" s="150" t="s">
        <v>139</v>
      </c>
      <c r="AZ15" s="150" t="s">
        <v>140</v>
      </c>
      <c r="BA15" s="131" t="s">
        <v>141</v>
      </c>
      <c r="BC15" s="116">
        <f>AW15+AX15</f>
      </c>
      <c r="BD15" s="116">
        <f>G15/(100-BE15)*100</f>
      </c>
      <c r="BE15" s="116" t="n">
        <v>0</v>
      </c>
      <c r="BF15" s="116">
        <f>15</f>
      </c>
      <c r="BH15" s="116">
        <f>F15*AO15</f>
      </c>
      <c r="BI15" s="116">
        <f>F15*AP15</f>
      </c>
      <c r="BJ15" s="116">
        <f>F15*G15</f>
      </c>
      <c r="BK15" s="116"/>
      <c r="BL15" s="116" t="n">
        <v>0</v>
      </c>
      <c r="BW15" s="116" t="n">
        <v>21</v>
      </c>
      <c r="BX15" s="14" t="s">
        <v>144</v>
      </c>
    </row>
    <row r="16" ht="24.75">
      <c r="A16" s="9" t="s">
        <v>145</v>
      </c>
      <c r="B16" s="10" t="s">
        <v>146</v>
      </c>
      <c r="C16" s="14" t="s">
        <v>147</v>
      </c>
      <c r="D16" s="10"/>
      <c r="E16" s="10" t="s">
        <v>148</v>
      </c>
      <c r="F16" s="116" t="n">
        <v>7</v>
      </c>
      <c r="G16" s="116" t="n">
        <v>0</v>
      </c>
      <c r="H16" s="116">
        <f>F16*AO16</f>
      </c>
      <c r="I16" s="116">
        <f>F16*AP16</f>
      </c>
      <c r="J16" s="116">
        <f>F16*G16</f>
      </c>
      <c r="K16" s="149" t="s">
        <v>138</v>
      </c>
      <c r="Z16" s="116">
        <f>IF(AQ16="5",BJ16,0)</f>
      </c>
      <c r="AB16" s="116">
        <f>IF(AQ16="1",BH16,0)</f>
      </c>
      <c r="AC16" s="116">
        <f>IF(AQ16="1",BI16,0)</f>
      </c>
      <c r="AD16" s="116">
        <f>IF(AQ16="7",BH16,0)</f>
      </c>
      <c r="AE16" s="116">
        <f>IF(AQ16="7",BI16,0)</f>
      </c>
      <c r="AF16" s="116">
        <f>IF(AQ16="2",BH16,0)</f>
      </c>
      <c r="AG16" s="116">
        <f>IF(AQ16="2",BI16,0)</f>
      </c>
      <c r="AH16" s="116">
        <f>IF(AQ16="0",BJ16,0)</f>
      </c>
      <c r="AI16" s="131" t="s">
        <v>4</v>
      </c>
      <c r="AJ16" s="116">
        <f>IF(AN16=0,J16,0)</f>
      </c>
      <c r="AK16" s="116">
        <f>IF(AN16=12,J16,0)</f>
      </c>
      <c r="AL16" s="116">
        <f>IF(AN16=21,J16,0)</f>
      </c>
      <c r="AN16" s="116" t="n">
        <v>21</v>
      </c>
      <c r="AO16" s="116">
        <f>G16*1</f>
      </c>
      <c r="AP16" s="116">
        <f>G16*(1-1)</f>
      </c>
      <c r="AQ16" s="150" t="s">
        <v>134</v>
      </c>
      <c r="AV16" s="116">
        <f>AW16+AX16</f>
      </c>
      <c r="AW16" s="116">
        <f>F16*AO16</f>
      </c>
      <c r="AX16" s="116">
        <f>F16*AP16</f>
      </c>
      <c r="AY16" s="150" t="s">
        <v>139</v>
      </c>
      <c r="AZ16" s="150" t="s">
        <v>140</v>
      </c>
      <c r="BA16" s="131" t="s">
        <v>141</v>
      </c>
      <c r="BC16" s="116">
        <f>AW16+AX16</f>
      </c>
      <c r="BD16" s="116">
        <f>G16/(100-BE16)*100</f>
      </c>
      <c r="BE16" s="116" t="n">
        <v>0</v>
      </c>
      <c r="BF16" s="116">
        <f>16</f>
      </c>
      <c r="BH16" s="116">
        <f>F16*AO16</f>
      </c>
      <c r="BI16" s="116">
        <f>F16*AP16</f>
      </c>
      <c r="BJ16" s="116">
        <f>F16*G16</f>
      </c>
      <c r="BK16" s="116"/>
      <c r="BL16" s="116" t="n">
        <v>0</v>
      </c>
      <c r="BW16" s="116" t="n">
        <v>21</v>
      </c>
      <c r="BX16" s="14" t="s">
        <v>147</v>
      </c>
    </row>
    <row r="17">
      <c r="A17" s="9" t="s">
        <v>149</v>
      </c>
      <c r="B17" s="10" t="s">
        <v>150</v>
      </c>
      <c r="C17" s="14" t="s">
        <v>151</v>
      </c>
      <c r="D17" s="10"/>
      <c r="E17" s="10" t="s">
        <v>137</v>
      </c>
      <c r="F17" s="116" t="n">
        <v>18</v>
      </c>
      <c r="G17" s="116" t="n">
        <v>0</v>
      </c>
      <c r="H17" s="116">
        <f>F17*AO17</f>
      </c>
      <c r="I17" s="116">
        <f>F17*AP17</f>
      </c>
      <c r="J17" s="116">
        <f>F17*G17</f>
      </c>
      <c r="K17" s="149" t="s">
        <v>138</v>
      </c>
      <c r="Z17" s="116">
        <f>IF(AQ17="5",BJ17,0)</f>
      </c>
      <c r="AB17" s="116">
        <f>IF(AQ17="1",BH17,0)</f>
      </c>
      <c r="AC17" s="116">
        <f>IF(AQ17="1",BI17,0)</f>
      </c>
      <c r="AD17" s="116">
        <f>IF(AQ17="7",BH17,0)</f>
      </c>
      <c r="AE17" s="116">
        <f>IF(AQ17="7",BI17,0)</f>
      </c>
      <c r="AF17" s="116">
        <f>IF(AQ17="2",BH17,0)</f>
      </c>
      <c r="AG17" s="116">
        <f>IF(AQ17="2",BI17,0)</f>
      </c>
      <c r="AH17" s="116">
        <f>IF(AQ17="0",BJ17,0)</f>
      </c>
      <c r="AI17" s="131" t="s">
        <v>4</v>
      </c>
      <c r="AJ17" s="116">
        <f>IF(AN17=0,J17,0)</f>
      </c>
      <c r="AK17" s="116">
        <f>IF(AN17=12,J17,0)</f>
      </c>
      <c r="AL17" s="116">
        <f>IF(AN17=21,J17,0)</f>
      </c>
      <c r="AN17" s="116" t="n">
        <v>21</v>
      </c>
      <c r="AO17" s="116">
        <f>G17*0.422597212</f>
      </c>
      <c r="AP17" s="116">
        <f>G17*(1-0.422597212)</f>
      </c>
      <c r="AQ17" s="150" t="s">
        <v>134</v>
      </c>
      <c r="AV17" s="116">
        <f>AW17+AX17</f>
      </c>
      <c r="AW17" s="116">
        <f>F17*AO17</f>
      </c>
      <c r="AX17" s="116">
        <f>F17*AP17</f>
      </c>
      <c r="AY17" s="150" t="s">
        <v>139</v>
      </c>
      <c r="AZ17" s="150" t="s">
        <v>140</v>
      </c>
      <c r="BA17" s="131" t="s">
        <v>141</v>
      </c>
      <c r="BC17" s="116">
        <f>AW17+AX17</f>
      </c>
      <c r="BD17" s="116">
        <f>G17/(100-BE17)*100</f>
      </c>
      <c r="BE17" s="116" t="n">
        <v>0</v>
      </c>
      <c r="BF17" s="116">
        <f>17</f>
      </c>
      <c r="BH17" s="116">
        <f>F17*AO17</f>
      </c>
      <c r="BI17" s="116">
        <f>F17*AP17</f>
      </c>
      <c r="BJ17" s="116">
        <f>F17*G17</f>
      </c>
      <c r="BK17" s="116"/>
      <c r="BL17" s="116" t="n">
        <v>0</v>
      </c>
      <c r="BW17" s="116" t="n">
        <v>21</v>
      </c>
      <c r="BX17" s="14" t="s">
        <v>151</v>
      </c>
    </row>
    <row r="18">
      <c r="A18" s="9" t="s">
        <v>152</v>
      </c>
      <c r="B18" s="10" t="s">
        <v>153</v>
      </c>
      <c r="C18" s="14" t="s">
        <v>154</v>
      </c>
      <c r="D18" s="10"/>
      <c r="E18" s="10" t="s">
        <v>137</v>
      </c>
      <c r="F18" s="116" t="n">
        <v>18</v>
      </c>
      <c r="G18" s="116" t="n">
        <v>0</v>
      </c>
      <c r="H18" s="116">
        <f>F18*AO18</f>
      </c>
      <c r="I18" s="116">
        <f>F18*AP18</f>
      </c>
      <c r="J18" s="116">
        <f>F18*G18</f>
      </c>
      <c r="K18" s="149" t="s">
        <v>138</v>
      </c>
      <c r="Z18" s="116">
        <f>IF(AQ18="5",BJ18,0)</f>
      </c>
      <c r="AB18" s="116">
        <f>IF(AQ18="1",BH18,0)</f>
      </c>
      <c r="AC18" s="116">
        <f>IF(AQ18="1",BI18,0)</f>
      </c>
      <c r="AD18" s="116">
        <f>IF(AQ18="7",BH18,0)</f>
      </c>
      <c r="AE18" s="116">
        <f>IF(AQ18="7",BI18,0)</f>
      </c>
      <c r="AF18" s="116">
        <f>IF(AQ18="2",BH18,0)</f>
      </c>
      <c r="AG18" s="116">
        <f>IF(AQ18="2",BI18,0)</f>
      </c>
      <c r="AH18" s="116">
        <f>IF(AQ18="0",BJ18,0)</f>
      </c>
      <c r="AI18" s="131" t="s">
        <v>4</v>
      </c>
      <c r="AJ18" s="116">
        <f>IF(AN18=0,J18,0)</f>
      </c>
      <c r="AK18" s="116">
        <f>IF(AN18=12,J18,0)</f>
      </c>
      <c r="AL18" s="116">
        <f>IF(AN18=21,J18,0)</f>
      </c>
      <c r="AN18" s="116" t="n">
        <v>21</v>
      </c>
      <c r="AO18" s="116">
        <f>G18*0.024528302</f>
      </c>
      <c r="AP18" s="116">
        <f>G18*(1-0.024528302)</f>
      </c>
      <c r="AQ18" s="150" t="s">
        <v>134</v>
      </c>
      <c r="AV18" s="116">
        <f>AW18+AX18</f>
      </c>
      <c r="AW18" s="116">
        <f>F18*AO18</f>
      </c>
      <c r="AX18" s="116">
        <f>F18*AP18</f>
      </c>
      <c r="AY18" s="150" t="s">
        <v>139</v>
      </c>
      <c r="AZ18" s="150" t="s">
        <v>140</v>
      </c>
      <c r="BA18" s="131" t="s">
        <v>141</v>
      </c>
      <c r="BC18" s="116">
        <f>AW18+AX18</f>
      </c>
      <c r="BD18" s="116">
        <f>G18/(100-BE18)*100</f>
      </c>
      <c r="BE18" s="116" t="n">
        <v>0</v>
      </c>
      <c r="BF18" s="116">
        <f>18</f>
      </c>
      <c r="BH18" s="116">
        <f>F18*AO18</f>
      </c>
      <c r="BI18" s="116">
        <f>F18*AP18</f>
      </c>
      <c r="BJ18" s="116">
        <f>F18*G18</f>
      </c>
      <c r="BK18" s="116"/>
      <c r="BL18" s="116" t="n">
        <v>0</v>
      </c>
      <c r="BW18" s="116" t="n">
        <v>21</v>
      </c>
      <c r="BX18" s="14" t="s">
        <v>154</v>
      </c>
    </row>
    <row r="19">
      <c r="A19" s="9" t="s">
        <v>155</v>
      </c>
      <c r="B19" s="10" t="s">
        <v>156</v>
      </c>
      <c r="C19" s="14" t="s">
        <v>157</v>
      </c>
      <c r="D19" s="10"/>
      <c r="E19" s="10" t="s">
        <v>158</v>
      </c>
      <c r="F19" s="116" t="n">
        <v>2</v>
      </c>
      <c r="G19" s="116" t="n">
        <v>0</v>
      </c>
      <c r="H19" s="116">
        <f>F19*AO19</f>
      </c>
      <c r="I19" s="116">
        <f>F19*AP19</f>
      </c>
      <c r="J19" s="116">
        <f>F19*G19</f>
      </c>
      <c r="K19" s="149" t="s">
        <v>138</v>
      </c>
      <c r="Z19" s="116">
        <f>IF(AQ19="5",BJ19,0)</f>
      </c>
      <c r="AB19" s="116">
        <f>IF(AQ19="1",BH19,0)</f>
      </c>
      <c r="AC19" s="116">
        <f>IF(AQ19="1",BI19,0)</f>
      </c>
      <c r="AD19" s="116">
        <f>IF(AQ19="7",BH19,0)</f>
      </c>
      <c r="AE19" s="116">
        <f>IF(AQ19="7",BI19,0)</f>
      </c>
      <c r="AF19" s="116">
        <f>IF(AQ19="2",BH19,0)</f>
      </c>
      <c r="AG19" s="116">
        <f>IF(AQ19="2",BI19,0)</f>
      </c>
      <c r="AH19" s="116">
        <f>IF(AQ19="0",BJ19,0)</f>
      </c>
      <c r="AI19" s="131" t="s">
        <v>4</v>
      </c>
      <c r="AJ19" s="116">
        <f>IF(AN19=0,J19,0)</f>
      </c>
      <c r="AK19" s="116">
        <f>IF(AN19=12,J19,0)</f>
      </c>
      <c r="AL19" s="116">
        <f>IF(AN19=21,J19,0)</f>
      </c>
      <c r="AN19" s="116" t="n">
        <v>21</v>
      </c>
      <c r="AO19" s="116">
        <f>G19*0</f>
      </c>
      <c r="AP19" s="116">
        <f>G19*(1-0)</f>
      </c>
      <c r="AQ19" s="150" t="s">
        <v>134</v>
      </c>
      <c r="AV19" s="116">
        <f>AW19+AX19</f>
      </c>
      <c r="AW19" s="116">
        <f>F19*AO19</f>
      </c>
      <c r="AX19" s="116">
        <f>F19*AP19</f>
      </c>
      <c r="AY19" s="150" t="s">
        <v>139</v>
      </c>
      <c r="AZ19" s="150" t="s">
        <v>140</v>
      </c>
      <c r="BA19" s="131" t="s">
        <v>141</v>
      </c>
      <c r="BC19" s="116">
        <f>AW19+AX19</f>
      </c>
      <c r="BD19" s="116">
        <f>G19/(100-BE19)*100</f>
      </c>
      <c r="BE19" s="116" t="n">
        <v>0</v>
      </c>
      <c r="BF19" s="116">
        <f>19</f>
      </c>
      <c r="BH19" s="116">
        <f>F19*AO19</f>
      </c>
      <c r="BI19" s="116">
        <f>F19*AP19</f>
      </c>
      <c r="BJ19" s="116">
        <f>F19*G19</f>
      </c>
      <c r="BK19" s="116"/>
      <c r="BL19" s="116" t="n">
        <v>0</v>
      </c>
      <c r="BW19" s="116" t="n">
        <v>21</v>
      </c>
      <c r="BX19" s="14" t="s">
        <v>157</v>
      </c>
    </row>
    <row r="20">
      <c r="A20" s="9" t="s">
        <v>159</v>
      </c>
      <c r="B20" s="10" t="s">
        <v>160</v>
      </c>
      <c r="C20" s="14" t="s">
        <v>161</v>
      </c>
      <c r="D20" s="10"/>
      <c r="E20" s="10" t="s">
        <v>158</v>
      </c>
      <c r="F20" s="116" t="n">
        <v>2</v>
      </c>
      <c r="G20" s="116" t="n">
        <v>0</v>
      </c>
      <c r="H20" s="116">
        <f>F20*AO20</f>
      </c>
      <c r="I20" s="116">
        <f>F20*AP20</f>
      </c>
      <c r="J20" s="116">
        <f>F20*G20</f>
      </c>
      <c r="K20" s="149" t="s">
        <v>138</v>
      </c>
      <c r="Z20" s="116">
        <f>IF(AQ20="5",BJ20,0)</f>
      </c>
      <c r="AB20" s="116">
        <f>IF(AQ20="1",BH20,0)</f>
      </c>
      <c r="AC20" s="116">
        <f>IF(AQ20="1",BI20,0)</f>
      </c>
      <c r="AD20" s="116">
        <f>IF(AQ20="7",BH20,0)</f>
      </c>
      <c r="AE20" s="116">
        <f>IF(AQ20="7",BI20,0)</f>
      </c>
      <c r="AF20" s="116">
        <f>IF(AQ20="2",BH20,0)</f>
      </c>
      <c r="AG20" s="116">
        <f>IF(AQ20="2",BI20,0)</f>
      </c>
      <c r="AH20" s="116">
        <f>IF(AQ20="0",BJ20,0)</f>
      </c>
      <c r="AI20" s="131" t="s">
        <v>4</v>
      </c>
      <c r="AJ20" s="116">
        <f>IF(AN20=0,J20,0)</f>
      </c>
      <c r="AK20" s="116">
        <f>IF(AN20=12,J20,0)</f>
      </c>
      <c r="AL20" s="116">
        <f>IF(AN20=21,J20,0)</f>
      </c>
      <c r="AN20" s="116" t="n">
        <v>21</v>
      </c>
      <c r="AO20" s="116">
        <f>G20*0.28277551</f>
      </c>
      <c r="AP20" s="116">
        <f>G20*(1-0.28277551)</f>
      </c>
      <c r="AQ20" s="150" t="s">
        <v>134</v>
      </c>
      <c r="AV20" s="116">
        <f>AW20+AX20</f>
      </c>
      <c r="AW20" s="116">
        <f>F20*AO20</f>
      </c>
      <c r="AX20" s="116">
        <f>F20*AP20</f>
      </c>
      <c r="AY20" s="150" t="s">
        <v>139</v>
      </c>
      <c r="AZ20" s="150" t="s">
        <v>140</v>
      </c>
      <c r="BA20" s="131" t="s">
        <v>141</v>
      </c>
      <c r="BC20" s="116">
        <f>AW20+AX20</f>
      </c>
      <c r="BD20" s="116">
        <f>G20/(100-BE20)*100</f>
      </c>
      <c r="BE20" s="116" t="n">
        <v>0</v>
      </c>
      <c r="BF20" s="116">
        <f>20</f>
      </c>
      <c r="BH20" s="116">
        <f>F20*AO20</f>
      </c>
      <c r="BI20" s="116">
        <f>F20*AP20</f>
      </c>
      <c r="BJ20" s="116">
        <f>F20*G20</f>
      </c>
      <c r="BK20" s="116"/>
      <c r="BL20" s="116" t="n">
        <v>0</v>
      </c>
      <c r="BW20" s="116" t="n">
        <v>21</v>
      </c>
      <c r="BX20" s="14" t="s">
        <v>161</v>
      </c>
    </row>
    <row r="21">
      <c r="A21" s="9" t="s">
        <v>162</v>
      </c>
      <c r="B21" s="10" t="s">
        <v>163</v>
      </c>
      <c r="C21" s="14" t="s">
        <v>164</v>
      </c>
      <c r="D21" s="10"/>
      <c r="E21" s="10" t="s">
        <v>158</v>
      </c>
      <c r="F21" s="116" t="n">
        <v>2</v>
      </c>
      <c r="G21" s="116" t="n">
        <v>0</v>
      </c>
      <c r="H21" s="116">
        <f>F21*AO21</f>
      </c>
      <c r="I21" s="116">
        <f>F21*AP21</f>
      </c>
      <c r="J21" s="116">
        <f>F21*G21</f>
      </c>
      <c r="K21" s="149" t="s">
        <v>138</v>
      </c>
      <c r="Z21" s="116">
        <f>IF(AQ21="5",BJ21,0)</f>
      </c>
      <c r="AB21" s="116">
        <f>IF(AQ21="1",BH21,0)</f>
      </c>
      <c r="AC21" s="116">
        <f>IF(AQ21="1",BI21,0)</f>
      </c>
      <c r="AD21" s="116">
        <f>IF(AQ21="7",BH21,0)</f>
      </c>
      <c r="AE21" s="116">
        <f>IF(AQ21="7",BI21,0)</f>
      </c>
      <c r="AF21" s="116">
        <f>IF(AQ21="2",BH21,0)</f>
      </c>
      <c r="AG21" s="116">
        <f>IF(AQ21="2",BI21,0)</f>
      </c>
      <c r="AH21" s="116">
        <f>IF(AQ21="0",BJ21,0)</f>
      </c>
      <c r="AI21" s="131" t="s">
        <v>4</v>
      </c>
      <c r="AJ21" s="116">
        <f>IF(AN21=0,J21,0)</f>
      </c>
      <c r="AK21" s="116">
        <f>IF(AN21=12,J21,0)</f>
      </c>
      <c r="AL21" s="116">
        <f>IF(AN21=21,J21,0)</f>
      </c>
      <c r="AN21" s="116" t="n">
        <v>21</v>
      </c>
      <c r="AO21" s="116">
        <f>G21*1</f>
      </c>
      <c r="AP21" s="116">
        <f>G21*(1-1)</f>
      </c>
      <c r="AQ21" s="150" t="s">
        <v>134</v>
      </c>
      <c r="AV21" s="116">
        <f>AW21+AX21</f>
      </c>
      <c r="AW21" s="116">
        <f>F21*AO21</f>
      </c>
      <c r="AX21" s="116">
        <f>F21*AP21</f>
      </c>
      <c r="AY21" s="150" t="s">
        <v>139</v>
      </c>
      <c r="AZ21" s="150" t="s">
        <v>140</v>
      </c>
      <c r="BA21" s="131" t="s">
        <v>141</v>
      </c>
      <c r="BC21" s="116">
        <f>AW21+AX21</f>
      </c>
      <c r="BD21" s="116">
        <f>G21/(100-BE21)*100</f>
      </c>
      <c r="BE21" s="116" t="n">
        <v>0</v>
      </c>
      <c r="BF21" s="116">
        <f>21</f>
      </c>
      <c r="BH21" s="116">
        <f>F21*AO21</f>
      </c>
      <c r="BI21" s="116">
        <f>F21*AP21</f>
      </c>
      <c r="BJ21" s="116">
        <f>F21*G21</f>
      </c>
      <c r="BK21" s="116"/>
      <c r="BL21" s="116" t="n">
        <v>0</v>
      </c>
      <c r="BW21" s="116" t="n">
        <v>21</v>
      </c>
      <c r="BX21" s="14" t="s">
        <v>164</v>
      </c>
    </row>
    <row r="22">
      <c r="A22" s="9" t="s">
        <v>165</v>
      </c>
      <c r="B22" s="10" t="s">
        <v>166</v>
      </c>
      <c r="C22" s="14" t="s">
        <v>167</v>
      </c>
      <c r="D22" s="10"/>
      <c r="E22" s="10" t="s">
        <v>158</v>
      </c>
      <c r="F22" s="116" t="n">
        <v>2</v>
      </c>
      <c r="G22" s="116" t="n">
        <v>0</v>
      </c>
      <c r="H22" s="116">
        <f>F22*AO22</f>
      </c>
      <c r="I22" s="116">
        <f>F22*AP22</f>
      </c>
      <c r="J22" s="116">
        <f>F22*G22</f>
      </c>
      <c r="K22" s="149" t="s">
        <v>138</v>
      </c>
      <c r="Z22" s="116">
        <f>IF(AQ22="5",BJ22,0)</f>
      </c>
      <c r="AB22" s="116">
        <f>IF(AQ22="1",BH22,0)</f>
      </c>
      <c r="AC22" s="116">
        <f>IF(AQ22="1",BI22,0)</f>
      </c>
      <c r="AD22" s="116">
        <f>IF(AQ22="7",BH22,0)</f>
      </c>
      <c r="AE22" s="116">
        <f>IF(AQ22="7",BI22,0)</f>
      </c>
      <c r="AF22" s="116">
        <f>IF(AQ22="2",BH22,0)</f>
      </c>
      <c r="AG22" s="116">
        <f>IF(AQ22="2",BI22,0)</f>
      </c>
      <c r="AH22" s="116">
        <f>IF(AQ22="0",BJ22,0)</f>
      </c>
      <c r="AI22" s="131" t="s">
        <v>4</v>
      </c>
      <c r="AJ22" s="116">
        <f>IF(AN22=0,J22,0)</f>
      </c>
      <c r="AK22" s="116">
        <f>IF(AN22=12,J22,0)</f>
      </c>
      <c r="AL22" s="116">
        <f>IF(AN22=21,J22,0)</f>
      </c>
      <c r="AN22" s="116" t="n">
        <v>21</v>
      </c>
      <c r="AO22" s="116">
        <f>G22*0.899002146</f>
      </c>
      <c r="AP22" s="116">
        <f>G22*(1-0.899002146)</f>
      </c>
      <c r="AQ22" s="150" t="s">
        <v>134</v>
      </c>
      <c r="AV22" s="116">
        <f>AW22+AX22</f>
      </c>
      <c r="AW22" s="116">
        <f>F22*AO22</f>
      </c>
      <c r="AX22" s="116">
        <f>F22*AP22</f>
      </c>
      <c r="AY22" s="150" t="s">
        <v>139</v>
      </c>
      <c r="AZ22" s="150" t="s">
        <v>140</v>
      </c>
      <c r="BA22" s="131" t="s">
        <v>141</v>
      </c>
      <c r="BC22" s="116">
        <f>AW22+AX22</f>
      </c>
      <c r="BD22" s="116">
        <f>G22/(100-BE22)*100</f>
      </c>
      <c r="BE22" s="116" t="n">
        <v>0</v>
      </c>
      <c r="BF22" s="116">
        <f>22</f>
      </c>
      <c r="BH22" s="116">
        <f>F22*AO22</f>
      </c>
      <c r="BI22" s="116">
        <f>F22*AP22</f>
      </c>
      <c r="BJ22" s="116">
        <f>F22*G22</f>
      </c>
      <c r="BK22" s="116"/>
      <c r="BL22" s="116" t="n">
        <v>0</v>
      </c>
      <c r="BW22" s="116" t="n">
        <v>21</v>
      </c>
      <c r="BX22" s="14" t="s">
        <v>167</v>
      </c>
    </row>
    <row r="23">
      <c r="A23" s="9" t="s">
        <v>168</v>
      </c>
      <c r="B23" s="10" t="s">
        <v>169</v>
      </c>
      <c r="C23" s="14" t="s">
        <v>170</v>
      </c>
      <c r="D23" s="10"/>
      <c r="E23" s="10" t="s">
        <v>171</v>
      </c>
      <c r="F23" s="116" t="n">
        <v>2</v>
      </c>
      <c r="G23" s="116" t="n">
        <v>0</v>
      </c>
      <c r="H23" s="116">
        <f>F23*AO23</f>
      </c>
      <c r="I23" s="116">
        <f>F23*AP23</f>
      </c>
      <c r="J23" s="116">
        <f>F23*G23</f>
      </c>
      <c r="K23" s="149" t="s">
        <v>138</v>
      </c>
      <c r="Z23" s="116">
        <f>IF(AQ23="5",BJ23,0)</f>
      </c>
      <c r="AB23" s="116">
        <f>IF(AQ23="1",BH23,0)</f>
      </c>
      <c r="AC23" s="116">
        <f>IF(AQ23="1",BI23,0)</f>
      </c>
      <c r="AD23" s="116">
        <f>IF(AQ23="7",BH23,0)</f>
      </c>
      <c r="AE23" s="116">
        <f>IF(AQ23="7",BI23,0)</f>
      </c>
      <c r="AF23" s="116">
        <f>IF(AQ23="2",BH23,0)</f>
      </c>
      <c r="AG23" s="116">
        <f>IF(AQ23="2",BI23,0)</f>
      </c>
      <c r="AH23" s="116">
        <f>IF(AQ23="0",BJ23,0)</f>
      </c>
      <c r="AI23" s="131" t="s">
        <v>4</v>
      </c>
      <c r="AJ23" s="116">
        <f>IF(AN23=0,J23,0)</f>
      </c>
      <c r="AK23" s="116">
        <f>IF(AN23=12,J23,0)</f>
      </c>
      <c r="AL23" s="116">
        <f>IF(AN23=21,J23,0)</f>
      </c>
      <c r="AN23" s="116" t="n">
        <v>21</v>
      </c>
      <c r="AO23" s="116">
        <f>G23*0</f>
      </c>
      <c r="AP23" s="116">
        <f>G23*(1-0)</f>
      </c>
      <c r="AQ23" s="150" t="s">
        <v>134</v>
      </c>
      <c r="AV23" s="116">
        <f>AW23+AX23</f>
      </c>
      <c r="AW23" s="116">
        <f>F23*AO23</f>
      </c>
      <c r="AX23" s="116">
        <f>F23*AP23</f>
      </c>
      <c r="AY23" s="150" t="s">
        <v>139</v>
      </c>
      <c r="AZ23" s="150" t="s">
        <v>140</v>
      </c>
      <c r="BA23" s="131" t="s">
        <v>141</v>
      </c>
      <c r="BC23" s="116">
        <f>AW23+AX23</f>
      </c>
      <c r="BD23" s="116">
        <f>G23/(100-BE23)*100</f>
      </c>
      <c r="BE23" s="116" t="n">
        <v>0</v>
      </c>
      <c r="BF23" s="116">
        <f>23</f>
      </c>
      <c r="BH23" s="116">
        <f>F23*AO23</f>
      </c>
      <c r="BI23" s="116">
        <f>F23*AP23</f>
      </c>
      <c r="BJ23" s="116">
        <f>F23*G23</f>
      </c>
      <c r="BK23" s="116"/>
      <c r="BL23" s="116" t="n">
        <v>0</v>
      </c>
      <c r="BW23" s="116" t="n">
        <v>21</v>
      </c>
      <c r="BX23" s="14" t="s">
        <v>170</v>
      </c>
    </row>
    <row r="24">
      <c r="A24" s="9" t="s">
        <v>172</v>
      </c>
      <c r="B24" s="10" t="s">
        <v>173</v>
      </c>
      <c r="C24" s="14" t="s">
        <v>174</v>
      </c>
      <c r="D24" s="10"/>
      <c r="E24" s="10" t="s">
        <v>158</v>
      </c>
      <c r="F24" s="116" t="n">
        <v>2</v>
      </c>
      <c r="G24" s="116" t="n">
        <v>0</v>
      </c>
      <c r="H24" s="116">
        <f>F24*AO24</f>
      </c>
      <c r="I24" s="116">
        <f>F24*AP24</f>
      </c>
      <c r="J24" s="116">
        <f>F24*G24</f>
      </c>
      <c r="K24" s="149" t="s">
        <v>138</v>
      </c>
      <c r="Z24" s="116">
        <f>IF(AQ24="5",BJ24,0)</f>
      </c>
      <c r="AB24" s="116">
        <f>IF(AQ24="1",BH24,0)</f>
      </c>
      <c r="AC24" s="116">
        <f>IF(AQ24="1",BI24,0)</f>
      </c>
      <c r="AD24" s="116">
        <f>IF(AQ24="7",BH24,0)</f>
      </c>
      <c r="AE24" s="116">
        <f>IF(AQ24="7",BI24,0)</f>
      </c>
      <c r="AF24" s="116">
        <f>IF(AQ24="2",BH24,0)</f>
      </c>
      <c r="AG24" s="116">
        <f>IF(AQ24="2",BI24,0)</f>
      </c>
      <c r="AH24" s="116">
        <f>IF(AQ24="0",BJ24,0)</f>
      </c>
      <c r="AI24" s="131" t="s">
        <v>4</v>
      </c>
      <c r="AJ24" s="116">
        <f>IF(AN24=0,J24,0)</f>
      </c>
      <c r="AK24" s="116">
        <f>IF(AN24=12,J24,0)</f>
      </c>
      <c r="AL24" s="116">
        <f>IF(AN24=21,J24,0)</f>
      </c>
      <c r="AN24" s="116" t="n">
        <v>21</v>
      </c>
      <c r="AO24" s="116">
        <f>G24*0.917837441</f>
      </c>
      <c r="AP24" s="116">
        <f>G24*(1-0.917837441)</f>
      </c>
      <c r="AQ24" s="150" t="s">
        <v>134</v>
      </c>
      <c r="AV24" s="116">
        <f>AW24+AX24</f>
      </c>
      <c r="AW24" s="116">
        <f>F24*AO24</f>
      </c>
      <c r="AX24" s="116">
        <f>F24*AP24</f>
      </c>
      <c r="AY24" s="150" t="s">
        <v>139</v>
      </c>
      <c r="AZ24" s="150" t="s">
        <v>140</v>
      </c>
      <c r="BA24" s="131" t="s">
        <v>141</v>
      </c>
      <c r="BC24" s="116">
        <f>AW24+AX24</f>
      </c>
      <c r="BD24" s="116">
        <f>G24/(100-BE24)*100</f>
      </c>
      <c r="BE24" s="116" t="n">
        <v>0</v>
      </c>
      <c r="BF24" s="116">
        <f>24</f>
      </c>
      <c r="BH24" s="116">
        <f>F24*AO24</f>
      </c>
      <c r="BI24" s="116">
        <f>F24*AP24</f>
      </c>
      <c r="BJ24" s="116">
        <f>F24*G24</f>
      </c>
      <c r="BK24" s="116"/>
      <c r="BL24" s="116" t="n">
        <v>0</v>
      </c>
      <c r="BW24" s="116" t="n">
        <v>21</v>
      </c>
      <c r="BX24" s="14" t="s">
        <v>174</v>
      </c>
    </row>
    <row r="25">
      <c r="A25" s="144" t="s">
        <v>4</v>
      </c>
      <c r="B25" s="145" t="s">
        <v>90</v>
      </c>
      <c r="C25" s="146" t="s">
        <v>91</v>
      </c>
      <c r="D25" s="145"/>
      <c r="E25" s="147" t="s">
        <v>79</v>
      </c>
      <c r="F25" s="147" t="s">
        <v>79</v>
      </c>
      <c r="G25" s="147" t="s">
        <v>79</v>
      </c>
      <c r="H25" s="123">
        <f>SUM(H26:H33)</f>
      </c>
      <c r="I25" s="123">
        <f>SUM(I26:I33)</f>
      </c>
      <c r="J25" s="123">
        <f>SUM(J26:J33)</f>
      </c>
      <c r="K25" s="148" t="s">
        <v>4</v>
      </c>
      <c r="AI25" s="131" t="s">
        <v>4</v>
      </c>
      <c r="AS25" s="123">
        <f>SUM(AJ26:AJ33)</f>
      </c>
      <c r="AT25" s="123">
        <f>SUM(AK26:AK33)</f>
      </c>
      <c r="AU25" s="123">
        <f>SUM(AL26:AL33)</f>
      </c>
    </row>
    <row r="26">
      <c r="A26" s="9" t="s">
        <v>175</v>
      </c>
      <c r="B26" s="10" t="s">
        <v>135</v>
      </c>
      <c r="C26" s="14" t="s">
        <v>136</v>
      </c>
      <c r="D26" s="10"/>
      <c r="E26" s="10" t="s">
        <v>137</v>
      </c>
      <c r="F26" s="116" t="n">
        <v>130</v>
      </c>
      <c r="G26" s="116" t="n">
        <v>0</v>
      </c>
      <c r="H26" s="116">
        <f>F26*AO26</f>
      </c>
      <c r="I26" s="116">
        <f>F26*AP26</f>
      </c>
      <c r="J26" s="116">
        <f>F26*G26</f>
      </c>
      <c r="K26" s="149" t="s">
        <v>138</v>
      </c>
      <c r="Z26" s="116">
        <f>IF(AQ26="5",BJ26,0)</f>
      </c>
      <c r="AB26" s="116">
        <f>IF(AQ26="1",BH26,0)</f>
      </c>
      <c r="AC26" s="116">
        <f>IF(AQ26="1",BI26,0)</f>
      </c>
      <c r="AD26" s="116">
        <f>IF(AQ26="7",BH26,0)</f>
      </c>
      <c r="AE26" s="116">
        <f>IF(AQ26="7",BI26,0)</f>
      </c>
      <c r="AF26" s="116">
        <f>IF(AQ26="2",BH26,0)</f>
      </c>
      <c r="AG26" s="116">
        <f>IF(AQ26="2",BI26,0)</f>
      </c>
      <c r="AH26" s="116">
        <f>IF(AQ26="0",BJ26,0)</f>
      </c>
      <c r="AI26" s="131" t="s">
        <v>4</v>
      </c>
      <c r="AJ26" s="116">
        <f>IF(AN26=0,J26,0)</f>
      </c>
      <c r="AK26" s="116">
        <f>IF(AN26=12,J26,0)</f>
      </c>
      <c r="AL26" s="116">
        <f>IF(AN26=21,J26,0)</f>
      </c>
      <c r="AN26" s="116" t="n">
        <v>21</v>
      </c>
      <c r="AO26" s="116">
        <f>G26*0.212640449</f>
      </c>
      <c r="AP26" s="116">
        <f>G26*(1-0.212640449)</f>
      </c>
      <c r="AQ26" s="150" t="s">
        <v>159</v>
      </c>
      <c r="AV26" s="116">
        <f>AW26+AX26</f>
      </c>
      <c r="AW26" s="116">
        <f>F26*AO26</f>
      </c>
      <c r="AX26" s="116">
        <f>F26*AP26</f>
      </c>
      <c r="AY26" s="150" t="s">
        <v>176</v>
      </c>
      <c r="AZ26" s="150" t="s">
        <v>177</v>
      </c>
      <c r="BA26" s="131" t="s">
        <v>141</v>
      </c>
      <c r="BC26" s="116">
        <f>AW26+AX26</f>
      </c>
      <c r="BD26" s="116">
        <f>G26/(100-BE26)*100</f>
      </c>
      <c r="BE26" s="116" t="n">
        <v>0</v>
      </c>
      <c r="BF26" s="116">
        <f>26</f>
      </c>
      <c r="BH26" s="116">
        <f>F26*AO26</f>
      </c>
      <c r="BI26" s="116">
        <f>F26*AP26</f>
      </c>
      <c r="BJ26" s="116">
        <f>F26*G26</f>
      </c>
      <c r="BK26" s="116"/>
      <c r="BL26" s="116" t="n">
        <v>733</v>
      </c>
      <c r="BW26" s="116" t="n">
        <v>21</v>
      </c>
      <c r="BX26" s="14" t="s">
        <v>136</v>
      </c>
    </row>
    <row r="27">
      <c r="A27" s="9" t="s">
        <v>178</v>
      </c>
      <c r="B27" s="10" t="s">
        <v>150</v>
      </c>
      <c r="C27" s="14" t="s">
        <v>151</v>
      </c>
      <c r="D27" s="10"/>
      <c r="E27" s="10" t="s">
        <v>137</v>
      </c>
      <c r="F27" s="116" t="n">
        <v>75</v>
      </c>
      <c r="G27" s="116" t="n">
        <v>0</v>
      </c>
      <c r="H27" s="116">
        <f>F27*AO27</f>
      </c>
      <c r="I27" s="116">
        <f>F27*AP27</f>
      </c>
      <c r="J27" s="116">
        <f>F27*G27</f>
      </c>
      <c r="K27" s="149" t="s">
        <v>138</v>
      </c>
      <c r="Z27" s="116">
        <f>IF(AQ27="5",BJ27,0)</f>
      </c>
      <c r="AB27" s="116">
        <f>IF(AQ27="1",BH27,0)</f>
      </c>
      <c r="AC27" s="116">
        <f>IF(AQ27="1",BI27,0)</f>
      </c>
      <c r="AD27" s="116">
        <f>IF(AQ27="7",BH27,0)</f>
      </c>
      <c r="AE27" s="116">
        <f>IF(AQ27="7",BI27,0)</f>
      </c>
      <c r="AF27" s="116">
        <f>IF(AQ27="2",BH27,0)</f>
      </c>
      <c r="AG27" s="116">
        <f>IF(AQ27="2",BI27,0)</f>
      </c>
      <c r="AH27" s="116">
        <f>IF(AQ27="0",BJ27,0)</f>
      </c>
      <c r="AI27" s="131" t="s">
        <v>4</v>
      </c>
      <c r="AJ27" s="116">
        <f>IF(AN27=0,J27,0)</f>
      </c>
      <c r="AK27" s="116">
        <f>IF(AN27=12,J27,0)</f>
      </c>
      <c r="AL27" s="116">
        <f>IF(AN27=21,J27,0)</f>
      </c>
      <c r="AN27" s="116" t="n">
        <v>21</v>
      </c>
      <c r="AO27" s="116">
        <f>G27*0.422597212</f>
      </c>
      <c r="AP27" s="116">
        <f>G27*(1-0.422597212)</f>
      </c>
      <c r="AQ27" s="150" t="s">
        <v>159</v>
      </c>
      <c r="AV27" s="116">
        <f>AW27+AX27</f>
      </c>
      <c r="AW27" s="116">
        <f>F27*AO27</f>
      </c>
      <c r="AX27" s="116">
        <f>F27*AP27</f>
      </c>
      <c r="AY27" s="150" t="s">
        <v>176</v>
      </c>
      <c r="AZ27" s="150" t="s">
        <v>177</v>
      </c>
      <c r="BA27" s="131" t="s">
        <v>141</v>
      </c>
      <c r="BC27" s="116">
        <f>AW27+AX27</f>
      </c>
      <c r="BD27" s="116">
        <f>G27/(100-BE27)*100</f>
      </c>
      <c r="BE27" s="116" t="n">
        <v>0</v>
      </c>
      <c r="BF27" s="116">
        <f>27</f>
      </c>
      <c r="BH27" s="116">
        <f>F27*AO27</f>
      </c>
      <c r="BI27" s="116">
        <f>F27*AP27</f>
      </c>
      <c r="BJ27" s="116">
        <f>F27*G27</f>
      </c>
      <c r="BK27" s="116"/>
      <c r="BL27" s="116" t="n">
        <v>733</v>
      </c>
      <c r="BW27" s="116" t="n">
        <v>21</v>
      </c>
      <c r="BX27" s="14" t="s">
        <v>151</v>
      </c>
    </row>
    <row r="28">
      <c r="A28" s="9" t="s">
        <v>179</v>
      </c>
      <c r="B28" s="10" t="s">
        <v>180</v>
      </c>
      <c r="C28" s="14" t="s">
        <v>181</v>
      </c>
      <c r="D28" s="10"/>
      <c r="E28" s="10" t="s">
        <v>137</v>
      </c>
      <c r="F28" s="116" t="n">
        <v>4</v>
      </c>
      <c r="G28" s="116" t="n">
        <v>0</v>
      </c>
      <c r="H28" s="116">
        <f>F28*AO28</f>
      </c>
      <c r="I28" s="116">
        <f>F28*AP28</f>
      </c>
      <c r="J28" s="116">
        <f>F28*G28</f>
      </c>
      <c r="K28" s="149" t="s">
        <v>138</v>
      </c>
      <c r="Z28" s="116">
        <f>IF(AQ28="5",BJ28,0)</f>
      </c>
      <c r="AB28" s="116">
        <f>IF(AQ28="1",BH28,0)</f>
      </c>
      <c r="AC28" s="116">
        <f>IF(AQ28="1",BI28,0)</f>
      </c>
      <c r="AD28" s="116">
        <f>IF(AQ28="7",BH28,0)</f>
      </c>
      <c r="AE28" s="116">
        <f>IF(AQ28="7",BI28,0)</f>
      </c>
      <c r="AF28" s="116">
        <f>IF(AQ28="2",BH28,0)</f>
      </c>
      <c r="AG28" s="116">
        <f>IF(AQ28="2",BI28,0)</f>
      </c>
      <c r="AH28" s="116">
        <f>IF(AQ28="0",BJ28,0)</f>
      </c>
      <c r="AI28" s="131" t="s">
        <v>4</v>
      </c>
      <c r="AJ28" s="116">
        <f>IF(AN28=0,J28,0)</f>
      </c>
      <c r="AK28" s="116">
        <f>IF(AN28=12,J28,0)</f>
      </c>
      <c r="AL28" s="116">
        <f>IF(AN28=21,J28,0)</f>
      </c>
      <c r="AN28" s="116" t="n">
        <v>21</v>
      </c>
      <c r="AO28" s="116">
        <f>G28*0.472098362</f>
      </c>
      <c r="AP28" s="116">
        <f>G28*(1-0.472098362)</f>
      </c>
      <c r="AQ28" s="150" t="s">
        <v>159</v>
      </c>
      <c r="AV28" s="116">
        <f>AW28+AX28</f>
      </c>
      <c r="AW28" s="116">
        <f>F28*AO28</f>
      </c>
      <c r="AX28" s="116">
        <f>F28*AP28</f>
      </c>
      <c r="AY28" s="150" t="s">
        <v>176</v>
      </c>
      <c r="AZ28" s="150" t="s">
        <v>177</v>
      </c>
      <c r="BA28" s="131" t="s">
        <v>141</v>
      </c>
      <c r="BC28" s="116">
        <f>AW28+AX28</f>
      </c>
      <c r="BD28" s="116">
        <f>G28/(100-BE28)*100</f>
      </c>
      <c r="BE28" s="116" t="n">
        <v>0</v>
      </c>
      <c r="BF28" s="116">
        <f>28</f>
      </c>
      <c r="BH28" s="116">
        <f>F28*AO28</f>
      </c>
      <c r="BI28" s="116">
        <f>F28*AP28</f>
      </c>
      <c r="BJ28" s="116">
        <f>F28*G28</f>
      </c>
      <c r="BK28" s="116"/>
      <c r="BL28" s="116" t="n">
        <v>733</v>
      </c>
      <c r="BW28" s="116" t="n">
        <v>21</v>
      </c>
      <c r="BX28" s="14" t="s">
        <v>181</v>
      </c>
    </row>
    <row r="29">
      <c r="A29" s="9" t="s">
        <v>182</v>
      </c>
      <c r="B29" s="10" t="s">
        <v>156</v>
      </c>
      <c r="C29" s="14" t="s">
        <v>157</v>
      </c>
      <c r="D29" s="10"/>
      <c r="E29" s="10" t="s">
        <v>158</v>
      </c>
      <c r="F29" s="116" t="n">
        <v>60</v>
      </c>
      <c r="G29" s="116" t="n">
        <v>0</v>
      </c>
      <c r="H29" s="116">
        <f>F29*AO29</f>
      </c>
      <c r="I29" s="116">
        <f>F29*AP29</f>
      </c>
      <c r="J29" s="116">
        <f>F29*G29</f>
      </c>
      <c r="K29" s="149" t="s">
        <v>138</v>
      </c>
      <c r="Z29" s="116">
        <f>IF(AQ29="5",BJ29,0)</f>
      </c>
      <c r="AB29" s="116">
        <f>IF(AQ29="1",BH29,0)</f>
      </c>
      <c r="AC29" s="116">
        <f>IF(AQ29="1",BI29,0)</f>
      </c>
      <c r="AD29" s="116">
        <f>IF(AQ29="7",BH29,0)</f>
      </c>
      <c r="AE29" s="116">
        <f>IF(AQ29="7",BI29,0)</f>
      </c>
      <c r="AF29" s="116">
        <f>IF(AQ29="2",BH29,0)</f>
      </c>
      <c r="AG29" s="116">
        <f>IF(AQ29="2",BI29,0)</f>
      </c>
      <c r="AH29" s="116">
        <f>IF(AQ29="0",BJ29,0)</f>
      </c>
      <c r="AI29" s="131" t="s">
        <v>4</v>
      </c>
      <c r="AJ29" s="116">
        <f>IF(AN29=0,J29,0)</f>
      </c>
      <c r="AK29" s="116">
        <f>IF(AN29=12,J29,0)</f>
      </c>
      <c r="AL29" s="116">
        <f>IF(AN29=21,J29,0)</f>
      </c>
      <c r="AN29" s="116" t="n">
        <v>21</v>
      </c>
      <c r="AO29" s="116">
        <f>G29*0</f>
      </c>
      <c r="AP29" s="116">
        <f>G29*(1-0)</f>
      </c>
      <c r="AQ29" s="150" t="s">
        <v>159</v>
      </c>
      <c r="AV29" s="116">
        <f>AW29+AX29</f>
      </c>
      <c r="AW29" s="116">
        <f>F29*AO29</f>
      </c>
      <c r="AX29" s="116">
        <f>F29*AP29</f>
      </c>
      <c r="AY29" s="150" t="s">
        <v>176</v>
      </c>
      <c r="AZ29" s="150" t="s">
        <v>177</v>
      </c>
      <c r="BA29" s="131" t="s">
        <v>141</v>
      </c>
      <c r="BC29" s="116">
        <f>AW29+AX29</f>
      </c>
      <c r="BD29" s="116">
        <f>G29/(100-BE29)*100</f>
      </c>
      <c r="BE29" s="116" t="n">
        <v>0</v>
      </c>
      <c r="BF29" s="116">
        <f>29</f>
      </c>
      <c r="BH29" s="116">
        <f>F29*AO29</f>
      </c>
      <c r="BI29" s="116">
        <f>F29*AP29</f>
      </c>
      <c r="BJ29" s="116">
        <f>F29*G29</f>
      </c>
      <c r="BK29" s="116"/>
      <c r="BL29" s="116" t="n">
        <v>733</v>
      </c>
      <c r="BW29" s="116" t="n">
        <v>21</v>
      </c>
      <c r="BX29" s="14" t="s">
        <v>157</v>
      </c>
    </row>
    <row r="30">
      <c r="A30" s="9" t="s">
        <v>183</v>
      </c>
      <c r="B30" s="10" t="s">
        <v>184</v>
      </c>
      <c r="C30" s="14" t="s">
        <v>185</v>
      </c>
      <c r="D30" s="10"/>
      <c r="E30" s="10" t="s">
        <v>158</v>
      </c>
      <c r="F30" s="116" t="n">
        <v>2</v>
      </c>
      <c r="G30" s="116" t="n">
        <v>0</v>
      </c>
      <c r="H30" s="116">
        <f>F30*AO30</f>
      </c>
      <c r="I30" s="116">
        <f>F30*AP30</f>
      </c>
      <c r="J30" s="116">
        <f>F30*G30</f>
      </c>
      <c r="K30" s="149" t="s">
        <v>138</v>
      </c>
      <c r="Z30" s="116">
        <f>IF(AQ30="5",BJ30,0)</f>
      </c>
      <c r="AB30" s="116">
        <f>IF(AQ30="1",BH30,0)</f>
      </c>
      <c r="AC30" s="116">
        <f>IF(AQ30="1",BI30,0)</f>
      </c>
      <c r="AD30" s="116">
        <f>IF(AQ30="7",BH30,0)</f>
      </c>
      <c r="AE30" s="116">
        <f>IF(AQ30="7",BI30,0)</f>
      </c>
      <c r="AF30" s="116">
        <f>IF(AQ30="2",BH30,0)</f>
      </c>
      <c r="AG30" s="116">
        <f>IF(AQ30="2",BI30,0)</f>
      </c>
      <c r="AH30" s="116">
        <f>IF(AQ30="0",BJ30,0)</f>
      </c>
      <c r="AI30" s="131" t="s">
        <v>4</v>
      </c>
      <c r="AJ30" s="116">
        <f>IF(AN30=0,J30,0)</f>
      </c>
      <c r="AK30" s="116">
        <f>IF(AN30=12,J30,0)</f>
      </c>
      <c r="AL30" s="116">
        <f>IF(AN30=21,J30,0)</f>
      </c>
      <c r="AN30" s="116" t="n">
        <v>21</v>
      </c>
      <c r="AO30" s="116">
        <f>G30*0</f>
      </c>
      <c r="AP30" s="116">
        <f>G30*(1-0)</f>
      </c>
      <c r="AQ30" s="150" t="s">
        <v>159</v>
      </c>
      <c r="AV30" s="116">
        <f>AW30+AX30</f>
      </c>
      <c r="AW30" s="116">
        <f>F30*AO30</f>
      </c>
      <c r="AX30" s="116">
        <f>F30*AP30</f>
      </c>
      <c r="AY30" s="150" t="s">
        <v>176</v>
      </c>
      <c r="AZ30" s="150" t="s">
        <v>177</v>
      </c>
      <c r="BA30" s="131" t="s">
        <v>141</v>
      </c>
      <c r="BC30" s="116">
        <f>AW30+AX30</f>
      </c>
      <c r="BD30" s="116">
        <f>G30/(100-BE30)*100</f>
      </c>
      <c r="BE30" s="116" t="n">
        <v>0</v>
      </c>
      <c r="BF30" s="116">
        <f>30</f>
      </c>
      <c r="BH30" s="116">
        <f>F30*AO30</f>
      </c>
      <c r="BI30" s="116">
        <f>F30*AP30</f>
      </c>
      <c r="BJ30" s="116">
        <f>F30*G30</f>
      </c>
      <c r="BK30" s="116"/>
      <c r="BL30" s="116" t="n">
        <v>733</v>
      </c>
      <c r="BW30" s="116" t="n">
        <v>21</v>
      </c>
      <c r="BX30" s="14" t="s">
        <v>185</v>
      </c>
    </row>
    <row r="31">
      <c r="A31" s="9" t="s">
        <v>186</v>
      </c>
      <c r="B31" s="10" t="s">
        <v>187</v>
      </c>
      <c r="C31" s="14" t="s">
        <v>188</v>
      </c>
      <c r="D31" s="10"/>
      <c r="E31" s="10" t="s">
        <v>158</v>
      </c>
      <c r="F31" s="116" t="n">
        <v>16</v>
      </c>
      <c r="G31" s="116" t="n">
        <v>0</v>
      </c>
      <c r="H31" s="116">
        <f>F31*AO31</f>
      </c>
      <c r="I31" s="116">
        <f>F31*AP31</f>
      </c>
      <c r="J31" s="116">
        <f>F31*G31</f>
      </c>
      <c r="K31" s="149" t="s">
        <v>138</v>
      </c>
      <c r="Z31" s="116">
        <f>IF(AQ31="5",BJ31,0)</f>
      </c>
      <c r="AB31" s="116">
        <f>IF(AQ31="1",BH31,0)</f>
      </c>
      <c r="AC31" s="116">
        <f>IF(AQ31="1",BI31,0)</f>
      </c>
      <c r="AD31" s="116">
        <f>IF(AQ31="7",BH31,0)</f>
      </c>
      <c r="AE31" s="116">
        <f>IF(AQ31="7",BI31,0)</f>
      </c>
      <c r="AF31" s="116">
        <f>IF(AQ31="2",BH31,0)</f>
      </c>
      <c r="AG31" s="116">
        <f>IF(AQ31="2",BI31,0)</f>
      </c>
      <c r="AH31" s="116">
        <f>IF(AQ31="0",BJ31,0)</f>
      </c>
      <c r="AI31" s="131" t="s">
        <v>4</v>
      </c>
      <c r="AJ31" s="116">
        <f>IF(AN31=0,J31,0)</f>
      </c>
      <c r="AK31" s="116">
        <f>IF(AN31=12,J31,0)</f>
      </c>
      <c r="AL31" s="116">
        <f>IF(AN31=21,J31,0)</f>
      </c>
      <c r="AN31" s="116" t="n">
        <v>21</v>
      </c>
      <c r="AO31" s="116">
        <f>G31*0.594173835</f>
      </c>
      <c r="AP31" s="116">
        <f>G31*(1-0.594173835)</f>
      </c>
      <c r="AQ31" s="150" t="s">
        <v>159</v>
      </c>
      <c r="AV31" s="116">
        <f>AW31+AX31</f>
      </c>
      <c r="AW31" s="116">
        <f>F31*AO31</f>
      </c>
      <c r="AX31" s="116">
        <f>F31*AP31</f>
      </c>
      <c r="AY31" s="150" t="s">
        <v>176</v>
      </c>
      <c r="AZ31" s="150" t="s">
        <v>177</v>
      </c>
      <c r="BA31" s="131" t="s">
        <v>141</v>
      </c>
      <c r="BC31" s="116">
        <f>AW31+AX31</f>
      </c>
      <c r="BD31" s="116">
        <f>G31/(100-BE31)*100</f>
      </c>
      <c r="BE31" s="116" t="n">
        <v>0</v>
      </c>
      <c r="BF31" s="116">
        <f>31</f>
      </c>
      <c r="BH31" s="116">
        <f>F31*AO31</f>
      </c>
      <c r="BI31" s="116">
        <f>F31*AP31</f>
      </c>
      <c r="BJ31" s="116">
        <f>F31*G31</f>
      </c>
      <c r="BK31" s="116"/>
      <c r="BL31" s="116" t="n">
        <v>733</v>
      </c>
      <c r="BW31" s="116" t="n">
        <v>21</v>
      </c>
      <c r="BX31" s="14" t="s">
        <v>188</v>
      </c>
    </row>
    <row r="32">
      <c r="A32" s="9" t="s">
        <v>189</v>
      </c>
      <c r="B32" s="10" t="s">
        <v>153</v>
      </c>
      <c r="C32" s="14" t="s">
        <v>154</v>
      </c>
      <c r="D32" s="10"/>
      <c r="E32" s="10" t="s">
        <v>137</v>
      </c>
      <c r="F32" s="116" t="n">
        <v>79</v>
      </c>
      <c r="G32" s="116" t="n">
        <v>0</v>
      </c>
      <c r="H32" s="116">
        <f>F32*AO32</f>
      </c>
      <c r="I32" s="116">
        <f>F32*AP32</f>
      </c>
      <c r="J32" s="116">
        <f>F32*G32</f>
      </c>
      <c r="K32" s="149" t="s">
        <v>138</v>
      </c>
      <c r="Z32" s="116">
        <f>IF(AQ32="5",BJ32,0)</f>
      </c>
      <c r="AB32" s="116">
        <f>IF(AQ32="1",BH32,0)</f>
      </c>
      <c r="AC32" s="116">
        <f>IF(AQ32="1",BI32,0)</f>
      </c>
      <c r="AD32" s="116">
        <f>IF(AQ32="7",BH32,0)</f>
      </c>
      <c r="AE32" s="116">
        <f>IF(AQ32="7",BI32,0)</f>
      </c>
      <c r="AF32" s="116">
        <f>IF(AQ32="2",BH32,0)</f>
      </c>
      <c r="AG32" s="116">
        <f>IF(AQ32="2",BI32,0)</f>
      </c>
      <c r="AH32" s="116">
        <f>IF(AQ32="0",BJ32,0)</f>
      </c>
      <c r="AI32" s="131" t="s">
        <v>4</v>
      </c>
      <c r="AJ32" s="116">
        <f>IF(AN32=0,J32,0)</f>
      </c>
      <c r="AK32" s="116">
        <f>IF(AN32=12,J32,0)</f>
      </c>
      <c r="AL32" s="116">
        <f>IF(AN32=21,J32,0)</f>
      </c>
      <c r="AN32" s="116" t="n">
        <v>21</v>
      </c>
      <c r="AO32" s="116">
        <f>G32*0.024528302</f>
      </c>
      <c r="AP32" s="116">
        <f>G32*(1-0.024528302)</f>
      </c>
      <c r="AQ32" s="150" t="s">
        <v>159</v>
      </c>
      <c r="AV32" s="116">
        <f>AW32+AX32</f>
      </c>
      <c r="AW32" s="116">
        <f>F32*AO32</f>
      </c>
      <c r="AX32" s="116">
        <f>F32*AP32</f>
      </c>
      <c r="AY32" s="150" t="s">
        <v>176</v>
      </c>
      <c r="AZ32" s="150" t="s">
        <v>177</v>
      </c>
      <c r="BA32" s="131" t="s">
        <v>141</v>
      </c>
      <c r="BC32" s="116">
        <f>AW32+AX32</f>
      </c>
      <c r="BD32" s="116">
        <f>G32/(100-BE32)*100</f>
      </c>
      <c r="BE32" s="116" t="n">
        <v>0</v>
      </c>
      <c r="BF32" s="116">
        <f>32</f>
      </c>
      <c r="BH32" s="116">
        <f>F32*AO32</f>
      </c>
      <c r="BI32" s="116">
        <f>F32*AP32</f>
      </c>
      <c r="BJ32" s="116">
        <f>F32*G32</f>
      </c>
      <c r="BK32" s="116"/>
      <c r="BL32" s="116" t="n">
        <v>733</v>
      </c>
      <c r="BW32" s="116" t="n">
        <v>21</v>
      </c>
      <c r="BX32" s="14" t="s">
        <v>154</v>
      </c>
    </row>
    <row r="33">
      <c r="A33" s="9" t="s">
        <v>190</v>
      </c>
      <c r="B33" s="10" t="s">
        <v>191</v>
      </c>
      <c r="C33" s="14" t="s">
        <v>192</v>
      </c>
      <c r="D33" s="10"/>
      <c r="E33" s="10" t="s">
        <v>61</v>
      </c>
      <c r="F33" s="116" t="n">
        <v>400</v>
      </c>
      <c r="G33" s="116" t="n">
        <v>0</v>
      </c>
      <c r="H33" s="116">
        <f>F33*AO33</f>
      </c>
      <c r="I33" s="116">
        <f>F33*AP33</f>
      </c>
      <c r="J33" s="116">
        <f>F33*G33</f>
      </c>
      <c r="K33" s="149" t="s">
        <v>138</v>
      </c>
      <c r="Z33" s="116">
        <f>IF(AQ33="5",BJ33,0)</f>
      </c>
      <c r="AB33" s="116">
        <f>IF(AQ33="1",BH33,0)</f>
      </c>
      <c r="AC33" s="116">
        <f>IF(AQ33="1",BI33,0)</f>
      </c>
      <c r="AD33" s="116">
        <f>IF(AQ33="7",BH33,0)</f>
      </c>
      <c r="AE33" s="116">
        <f>IF(AQ33="7",BI33,0)</f>
      </c>
      <c r="AF33" s="116">
        <f>IF(AQ33="2",BH33,0)</f>
      </c>
      <c r="AG33" s="116">
        <f>IF(AQ33="2",BI33,0)</f>
      </c>
      <c r="AH33" s="116">
        <f>IF(AQ33="0",BJ33,0)</f>
      </c>
      <c r="AI33" s="131" t="s">
        <v>4</v>
      </c>
      <c r="AJ33" s="116">
        <f>IF(AN33=0,J33,0)</f>
      </c>
      <c r="AK33" s="116">
        <f>IF(AN33=12,J33,0)</f>
      </c>
      <c r="AL33" s="116">
        <f>IF(AN33=21,J33,0)</f>
      </c>
      <c r="AN33" s="116" t="n">
        <v>21</v>
      </c>
      <c r="AO33" s="116">
        <f>G33*0</f>
      </c>
      <c r="AP33" s="116">
        <f>G33*(1-0)</f>
      </c>
      <c r="AQ33" s="150" t="s">
        <v>152</v>
      </c>
      <c r="AV33" s="116">
        <f>AW33+AX33</f>
      </c>
      <c r="AW33" s="116">
        <f>F33*AO33</f>
      </c>
      <c r="AX33" s="116">
        <f>F33*AP33</f>
      </c>
      <c r="AY33" s="150" t="s">
        <v>176</v>
      </c>
      <c r="AZ33" s="150" t="s">
        <v>177</v>
      </c>
      <c r="BA33" s="131" t="s">
        <v>141</v>
      </c>
      <c r="BC33" s="116">
        <f>AW33+AX33</f>
      </c>
      <c r="BD33" s="116">
        <f>G33/(100-BE33)*100</f>
      </c>
      <c r="BE33" s="116" t="n">
        <v>0</v>
      </c>
      <c r="BF33" s="116">
        <f>33</f>
      </c>
      <c r="BH33" s="116">
        <f>F33*AO33</f>
      </c>
      <c r="BI33" s="116">
        <f>F33*AP33</f>
      </c>
      <c r="BJ33" s="116">
        <f>F33*G33</f>
      </c>
      <c r="BK33" s="116"/>
      <c r="BL33" s="116" t="n">
        <v>733</v>
      </c>
      <c r="BW33" s="116" t="n">
        <v>21</v>
      </c>
      <c r="BX33" s="14" t="s">
        <v>192</v>
      </c>
    </row>
    <row r="34">
      <c r="A34" s="144" t="s">
        <v>4</v>
      </c>
      <c r="B34" s="145" t="s">
        <v>92</v>
      </c>
      <c r="C34" s="146" t="s">
        <v>93</v>
      </c>
      <c r="D34" s="145"/>
      <c r="E34" s="147" t="s">
        <v>79</v>
      </c>
      <c r="F34" s="147" t="s">
        <v>79</v>
      </c>
      <c r="G34" s="147" t="s">
        <v>79</v>
      </c>
      <c r="H34" s="123">
        <f>SUM(H35:H40)</f>
      </c>
      <c r="I34" s="123">
        <f>SUM(I35:I40)</f>
      </c>
      <c r="J34" s="123">
        <f>SUM(J35:J40)</f>
      </c>
      <c r="K34" s="148" t="s">
        <v>4</v>
      </c>
      <c r="AI34" s="131" t="s">
        <v>4</v>
      </c>
      <c r="AS34" s="123">
        <f>SUM(AJ35:AJ40)</f>
      </c>
      <c r="AT34" s="123">
        <f>SUM(AK35:AK40)</f>
      </c>
      <c r="AU34" s="123">
        <f>SUM(AL35:AL40)</f>
      </c>
    </row>
    <row r="35">
      <c r="A35" s="9" t="s">
        <v>193</v>
      </c>
      <c r="B35" s="10" t="s">
        <v>160</v>
      </c>
      <c r="C35" s="14" t="s">
        <v>161</v>
      </c>
      <c r="D35" s="10"/>
      <c r="E35" s="10" t="s">
        <v>158</v>
      </c>
      <c r="F35" s="116" t="n">
        <v>90</v>
      </c>
      <c r="G35" s="116" t="n">
        <v>0</v>
      </c>
      <c r="H35" s="116">
        <f>F35*AO35</f>
      </c>
      <c r="I35" s="116">
        <f>F35*AP35</f>
      </c>
      <c r="J35" s="116">
        <f>F35*G35</f>
      </c>
      <c r="K35" s="149" t="s">
        <v>138</v>
      </c>
      <c r="Z35" s="116">
        <f>IF(AQ35="5",BJ35,0)</f>
      </c>
      <c r="AB35" s="116">
        <f>IF(AQ35="1",BH35,0)</f>
      </c>
      <c r="AC35" s="116">
        <f>IF(AQ35="1",BI35,0)</f>
      </c>
      <c r="AD35" s="116">
        <f>IF(AQ35="7",BH35,0)</f>
      </c>
      <c r="AE35" s="116">
        <f>IF(AQ35="7",BI35,0)</f>
      </c>
      <c r="AF35" s="116">
        <f>IF(AQ35="2",BH35,0)</f>
      </c>
      <c r="AG35" s="116">
        <f>IF(AQ35="2",BI35,0)</f>
      </c>
      <c r="AH35" s="116">
        <f>IF(AQ35="0",BJ35,0)</f>
      </c>
      <c r="AI35" s="131" t="s">
        <v>4</v>
      </c>
      <c r="AJ35" s="116">
        <f>IF(AN35=0,J35,0)</f>
      </c>
      <c r="AK35" s="116">
        <f>IF(AN35=12,J35,0)</f>
      </c>
      <c r="AL35" s="116">
        <f>IF(AN35=21,J35,0)</f>
      </c>
      <c r="AN35" s="116" t="n">
        <v>21</v>
      </c>
      <c r="AO35" s="116">
        <f>G35*0.28277551</f>
      </c>
      <c r="AP35" s="116">
        <f>G35*(1-0.28277551)</f>
      </c>
      <c r="AQ35" s="150" t="s">
        <v>159</v>
      </c>
      <c r="AV35" s="116">
        <f>AW35+AX35</f>
      </c>
      <c r="AW35" s="116">
        <f>F35*AO35</f>
      </c>
      <c r="AX35" s="116">
        <f>F35*AP35</f>
      </c>
      <c r="AY35" s="150" t="s">
        <v>194</v>
      </c>
      <c r="AZ35" s="150" t="s">
        <v>177</v>
      </c>
      <c r="BA35" s="131" t="s">
        <v>141</v>
      </c>
      <c r="BC35" s="116">
        <f>AW35+AX35</f>
      </c>
      <c r="BD35" s="116">
        <f>G35/(100-BE35)*100</f>
      </c>
      <c r="BE35" s="116" t="n">
        <v>0</v>
      </c>
      <c r="BF35" s="116">
        <f>35</f>
      </c>
      <c r="BH35" s="116">
        <f>F35*AO35</f>
      </c>
      <c r="BI35" s="116">
        <f>F35*AP35</f>
      </c>
      <c r="BJ35" s="116">
        <f>F35*G35</f>
      </c>
      <c r="BK35" s="116"/>
      <c r="BL35" s="116" t="n">
        <v>734</v>
      </c>
      <c r="BW35" s="116" t="n">
        <v>21</v>
      </c>
      <c r="BX35" s="14" t="s">
        <v>161</v>
      </c>
    </row>
    <row r="36">
      <c r="A36" s="9" t="s">
        <v>195</v>
      </c>
      <c r="B36" s="10" t="s">
        <v>163</v>
      </c>
      <c r="C36" s="14" t="s">
        <v>164</v>
      </c>
      <c r="D36" s="10"/>
      <c r="E36" s="10" t="s">
        <v>158</v>
      </c>
      <c r="F36" s="116" t="n">
        <v>32</v>
      </c>
      <c r="G36" s="116" t="n">
        <v>0</v>
      </c>
      <c r="H36" s="116">
        <f>F36*AO36</f>
      </c>
      <c r="I36" s="116">
        <f>F36*AP36</f>
      </c>
      <c r="J36" s="116">
        <f>F36*G36</f>
      </c>
      <c r="K36" s="149" t="s">
        <v>138</v>
      </c>
      <c r="Z36" s="116">
        <f>IF(AQ36="5",BJ36,0)</f>
      </c>
      <c r="AB36" s="116">
        <f>IF(AQ36="1",BH36,0)</f>
      </c>
      <c r="AC36" s="116">
        <f>IF(AQ36="1",BI36,0)</f>
      </c>
      <c r="AD36" s="116">
        <f>IF(AQ36="7",BH36,0)</f>
      </c>
      <c r="AE36" s="116">
        <f>IF(AQ36="7",BI36,0)</f>
      </c>
      <c r="AF36" s="116">
        <f>IF(AQ36="2",BH36,0)</f>
      </c>
      <c r="AG36" s="116">
        <f>IF(AQ36="2",BI36,0)</f>
      </c>
      <c r="AH36" s="116">
        <f>IF(AQ36="0",BJ36,0)</f>
      </c>
      <c r="AI36" s="131" t="s">
        <v>4</v>
      </c>
      <c r="AJ36" s="116">
        <f>IF(AN36=0,J36,0)</f>
      </c>
      <c r="AK36" s="116">
        <f>IF(AN36=12,J36,0)</f>
      </c>
      <c r="AL36" s="116">
        <f>IF(AN36=21,J36,0)</f>
      </c>
      <c r="AN36" s="116" t="n">
        <v>21</v>
      </c>
      <c r="AO36" s="116">
        <f>G36*1</f>
      </c>
      <c r="AP36" s="116">
        <f>G36*(1-1)</f>
      </c>
      <c r="AQ36" s="150" t="s">
        <v>159</v>
      </c>
      <c r="AV36" s="116">
        <f>AW36+AX36</f>
      </c>
      <c r="AW36" s="116">
        <f>F36*AO36</f>
      </c>
      <c r="AX36" s="116">
        <f>F36*AP36</f>
      </c>
      <c r="AY36" s="150" t="s">
        <v>194</v>
      </c>
      <c r="AZ36" s="150" t="s">
        <v>177</v>
      </c>
      <c r="BA36" s="131" t="s">
        <v>141</v>
      </c>
      <c r="BC36" s="116">
        <f>AW36+AX36</f>
      </c>
      <c r="BD36" s="116">
        <f>G36/(100-BE36)*100</f>
      </c>
      <c r="BE36" s="116" t="n">
        <v>0</v>
      </c>
      <c r="BF36" s="116">
        <f>36</f>
      </c>
      <c r="BH36" s="116">
        <f>F36*AO36</f>
      </c>
      <c r="BI36" s="116">
        <f>F36*AP36</f>
      </c>
      <c r="BJ36" s="116">
        <f>F36*G36</f>
      </c>
      <c r="BK36" s="116"/>
      <c r="BL36" s="116" t="n">
        <v>734</v>
      </c>
      <c r="BW36" s="116" t="n">
        <v>21</v>
      </c>
      <c r="BX36" s="14" t="s">
        <v>164</v>
      </c>
    </row>
    <row r="37">
      <c r="A37" s="9" t="s">
        <v>196</v>
      </c>
      <c r="B37" s="10" t="s">
        <v>197</v>
      </c>
      <c r="C37" s="14" t="s">
        <v>198</v>
      </c>
      <c r="D37" s="10"/>
      <c r="E37" s="10" t="s">
        <v>158</v>
      </c>
      <c r="F37" s="116" t="n">
        <v>17</v>
      </c>
      <c r="G37" s="116" t="n">
        <v>0</v>
      </c>
      <c r="H37" s="116">
        <f>F37*AO37</f>
      </c>
      <c r="I37" s="116">
        <f>F37*AP37</f>
      </c>
      <c r="J37" s="116">
        <f>F37*G37</f>
      </c>
      <c r="K37" s="149" t="s">
        <v>138</v>
      </c>
      <c r="Z37" s="116">
        <f>IF(AQ37="5",BJ37,0)</f>
      </c>
      <c r="AB37" s="116">
        <f>IF(AQ37="1",BH37,0)</f>
      </c>
      <c r="AC37" s="116">
        <f>IF(AQ37="1",BI37,0)</f>
      </c>
      <c r="AD37" s="116">
        <f>IF(AQ37="7",BH37,0)</f>
      </c>
      <c r="AE37" s="116">
        <f>IF(AQ37="7",BI37,0)</f>
      </c>
      <c r="AF37" s="116">
        <f>IF(AQ37="2",BH37,0)</f>
      </c>
      <c r="AG37" s="116">
        <f>IF(AQ37="2",BI37,0)</f>
      </c>
      <c r="AH37" s="116">
        <f>IF(AQ37="0",BJ37,0)</f>
      </c>
      <c r="AI37" s="131" t="s">
        <v>4</v>
      </c>
      <c r="AJ37" s="116">
        <f>IF(AN37=0,J37,0)</f>
      </c>
      <c r="AK37" s="116">
        <f>IF(AN37=12,J37,0)</f>
      </c>
      <c r="AL37" s="116">
        <f>IF(AN37=21,J37,0)</f>
      </c>
      <c r="AN37" s="116" t="n">
        <v>21</v>
      </c>
      <c r="AO37" s="116">
        <f>G37*0.797663646</f>
      </c>
      <c r="AP37" s="116">
        <f>G37*(1-0.797663646)</f>
      </c>
      <c r="AQ37" s="150" t="s">
        <v>159</v>
      </c>
      <c r="AV37" s="116">
        <f>AW37+AX37</f>
      </c>
      <c r="AW37" s="116">
        <f>F37*AO37</f>
      </c>
      <c r="AX37" s="116">
        <f>F37*AP37</f>
      </c>
      <c r="AY37" s="150" t="s">
        <v>194</v>
      </c>
      <c r="AZ37" s="150" t="s">
        <v>177</v>
      </c>
      <c r="BA37" s="131" t="s">
        <v>141</v>
      </c>
      <c r="BC37" s="116">
        <f>AW37+AX37</f>
      </c>
      <c r="BD37" s="116">
        <f>G37/(100-BE37)*100</f>
      </c>
      <c r="BE37" s="116" t="n">
        <v>0</v>
      </c>
      <c r="BF37" s="116">
        <f>37</f>
      </c>
      <c r="BH37" s="116">
        <f>F37*AO37</f>
      </c>
      <c r="BI37" s="116">
        <f>F37*AP37</f>
      </c>
      <c r="BJ37" s="116">
        <f>F37*G37</f>
      </c>
      <c r="BK37" s="116"/>
      <c r="BL37" s="116" t="n">
        <v>734</v>
      </c>
      <c r="BW37" s="116" t="n">
        <v>21</v>
      </c>
      <c r="BX37" s="14" t="s">
        <v>198</v>
      </c>
    </row>
    <row r="38">
      <c r="A38" s="9" t="s">
        <v>199</v>
      </c>
      <c r="B38" s="10" t="s">
        <v>200</v>
      </c>
      <c r="C38" s="14" t="s">
        <v>201</v>
      </c>
      <c r="D38" s="10"/>
      <c r="E38" s="10" t="s">
        <v>158</v>
      </c>
      <c r="F38" s="116" t="n">
        <v>17</v>
      </c>
      <c r="G38" s="116" t="n">
        <v>0</v>
      </c>
      <c r="H38" s="116">
        <f>F38*AO38</f>
      </c>
      <c r="I38" s="116">
        <f>F38*AP38</f>
      </c>
      <c r="J38" s="116">
        <f>F38*G38</f>
      </c>
      <c r="K38" s="149" t="s">
        <v>138</v>
      </c>
      <c r="Z38" s="116">
        <f>IF(AQ38="5",BJ38,0)</f>
      </c>
      <c r="AB38" s="116">
        <f>IF(AQ38="1",BH38,0)</f>
      </c>
      <c r="AC38" s="116">
        <f>IF(AQ38="1",BI38,0)</f>
      </c>
      <c r="AD38" s="116">
        <f>IF(AQ38="7",BH38,0)</f>
      </c>
      <c r="AE38" s="116">
        <f>IF(AQ38="7",BI38,0)</f>
      </c>
      <c r="AF38" s="116">
        <f>IF(AQ38="2",BH38,0)</f>
      </c>
      <c r="AG38" s="116">
        <f>IF(AQ38="2",BI38,0)</f>
      </c>
      <c r="AH38" s="116">
        <f>IF(AQ38="0",BJ38,0)</f>
      </c>
      <c r="AI38" s="131" t="s">
        <v>4</v>
      </c>
      <c r="AJ38" s="116">
        <f>IF(AN38=0,J38,0)</f>
      </c>
      <c r="AK38" s="116">
        <f>IF(AN38=12,J38,0)</f>
      </c>
      <c r="AL38" s="116">
        <f>IF(AN38=21,J38,0)</f>
      </c>
      <c r="AN38" s="116" t="n">
        <v>21</v>
      </c>
      <c r="AO38" s="116">
        <f>G38*0.838003442</f>
      </c>
      <c r="AP38" s="116">
        <f>G38*(1-0.838003442)</f>
      </c>
      <c r="AQ38" s="150" t="s">
        <v>159</v>
      </c>
      <c r="AV38" s="116">
        <f>AW38+AX38</f>
      </c>
      <c r="AW38" s="116">
        <f>F38*AO38</f>
      </c>
      <c r="AX38" s="116">
        <f>F38*AP38</f>
      </c>
      <c r="AY38" s="150" t="s">
        <v>194</v>
      </c>
      <c r="AZ38" s="150" t="s">
        <v>177</v>
      </c>
      <c r="BA38" s="131" t="s">
        <v>141</v>
      </c>
      <c r="BC38" s="116">
        <f>AW38+AX38</f>
      </c>
      <c r="BD38" s="116">
        <f>G38/(100-BE38)*100</f>
      </c>
      <c r="BE38" s="116" t="n">
        <v>0</v>
      </c>
      <c r="BF38" s="116">
        <f>38</f>
      </c>
      <c r="BH38" s="116">
        <f>F38*AO38</f>
      </c>
      <c r="BI38" s="116">
        <f>F38*AP38</f>
      </c>
      <c r="BJ38" s="116">
        <f>F38*G38</f>
      </c>
      <c r="BK38" s="116"/>
      <c r="BL38" s="116" t="n">
        <v>734</v>
      </c>
      <c r="BW38" s="116" t="n">
        <v>21</v>
      </c>
      <c r="BX38" s="14" t="s">
        <v>201</v>
      </c>
    </row>
    <row r="39">
      <c r="A39" s="9" t="s">
        <v>202</v>
      </c>
      <c r="B39" s="10" t="s">
        <v>166</v>
      </c>
      <c r="C39" s="14" t="s">
        <v>167</v>
      </c>
      <c r="D39" s="10"/>
      <c r="E39" s="10" t="s">
        <v>158</v>
      </c>
      <c r="F39" s="116" t="n">
        <v>15</v>
      </c>
      <c r="G39" s="116" t="n">
        <v>0</v>
      </c>
      <c r="H39" s="116">
        <f>F39*AO39</f>
      </c>
      <c r="I39" s="116">
        <f>F39*AP39</f>
      </c>
      <c r="J39" s="116">
        <f>F39*G39</f>
      </c>
      <c r="K39" s="149" t="s">
        <v>138</v>
      </c>
      <c r="Z39" s="116">
        <f>IF(AQ39="5",BJ39,0)</f>
      </c>
      <c r="AB39" s="116">
        <f>IF(AQ39="1",BH39,0)</f>
      </c>
      <c r="AC39" s="116">
        <f>IF(AQ39="1",BI39,0)</f>
      </c>
      <c r="AD39" s="116">
        <f>IF(AQ39="7",BH39,0)</f>
      </c>
      <c r="AE39" s="116">
        <f>IF(AQ39="7",BI39,0)</f>
      </c>
      <c r="AF39" s="116">
        <f>IF(AQ39="2",BH39,0)</f>
      </c>
      <c r="AG39" s="116">
        <f>IF(AQ39="2",BI39,0)</f>
      </c>
      <c r="AH39" s="116">
        <f>IF(AQ39="0",BJ39,0)</f>
      </c>
      <c r="AI39" s="131" t="s">
        <v>4</v>
      </c>
      <c r="AJ39" s="116">
        <f>IF(AN39=0,J39,0)</f>
      </c>
      <c r="AK39" s="116">
        <f>IF(AN39=12,J39,0)</f>
      </c>
      <c r="AL39" s="116">
        <f>IF(AN39=21,J39,0)</f>
      </c>
      <c r="AN39" s="116" t="n">
        <v>21</v>
      </c>
      <c r="AO39" s="116">
        <f>G39*0.899002146</f>
      </c>
      <c r="AP39" s="116">
        <f>G39*(1-0.899002146)</f>
      </c>
      <c r="AQ39" s="150" t="s">
        <v>159</v>
      </c>
      <c r="AV39" s="116">
        <f>AW39+AX39</f>
      </c>
      <c r="AW39" s="116">
        <f>F39*AO39</f>
      </c>
      <c r="AX39" s="116">
        <f>F39*AP39</f>
      </c>
      <c r="AY39" s="150" t="s">
        <v>194</v>
      </c>
      <c r="AZ39" s="150" t="s">
        <v>177</v>
      </c>
      <c r="BA39" s="131" t="s">
        <v>141</v>
      </c>
      <c r="BC39" s="116">
        <f>AW39+AX39</f>
      </c>
      <c r="BD39" s="116">
        <f>G39/(100-BE39)*100</f>
      </c>
      <c r="BE39" s="116" t="n">
        <v>0</v>
      </c>
      <c r="BF39" s="116">
        <f>39</f>
      </c>
      <c r="BH39" s="116">
        <f>F39*AO39</f>
      </c>
      <c r="BI39" s="116">
        <f>F39*AP39</f>
      </c>
      <c r="BJ39" s="116">
        <f>F39*G39</f>
      </c>
      <c r="BK39" s="116"/>
      <c r="BL39" s="116" t="n">
        <v>734</v>
      </c>
      <c r="BW39" s="116" t="n">
        <v>21</v>
      </c>
      <c r="BX39" s="14" t="s">
        <v>167</v>
      </c>
    </row>
    <row r="40">
      <c r="A40" s="9" t="s">
        <v>203</v>
      </c>
      <c r="B40" s="10" t="s">
        <v>204</v>
      </c>
      <c r="C40" s="14" t="s">
        <v>205</v>
      </c>
      <c r="D40" s="10"/>
      <c r="E40" s="10" t="s">
        <v>61</v>
      </c>
      <c r="F40" s="116" t="n">
        <v>420</v>
      </c>
      <c r="G40" s="116" t="n">
        <v>0</v>
      </c>
      <c r="H40" s="116">
        <f>F40*AO40</f>
      </c>
      <c r="I40" s="116">
        <f>F40*AP40</f>
      </c>
      <c r="J40" s="116">
        <f>F40*G40</f>
      </c>
      <c r="K40" s="149" t="s">
        <v>138</v>
      </c>
      <c r="Z40" s="116">
        <f>IF(AQ40="5",BJ40,0)</f>
      </c>
      <c r="AB40" s="116">
        <f>IF(AQ40="1",BH40,0)</f>
      </c>
      <c r="AC40" s="116">
        <f>IF(AQ40="1",BI40,0)</f>
      </c>
      <c r="AD40" s="116">
        <f>IF(AQ40="7",BH40,0)</f>
      </c>
      <c r="AE40" s="116">
        <f>IF(AQ40="7",BI40,0)</f>
      </c>
      <c r="AF40" s="116">
        <f>IF(AQ40="2",BH40,0)</f>
      </c>
      <c r="AG40" s="116">
        <f>IF(AQ40="2",BI40,0)</f>
      </c>
      <c r="AH40" s="116">
        <f>IF(AQ40="0",BJ40,0)</f>
      </c>
      <c r="AI40" s="131" t="s">
        <v>4</v>
      </c>
      <c r="AJ40" s="116">
        <f>IF(AN40=0,J40,0)</f>
      </c>
      <c r="AK40" s="116">
        <f>IF(AN40=12,J40,0)</f>
      </c>
      <c r="AL40" s="116">
        <f>IF(AN40=21,J40,0)</f>
      </c>
      <c r="AN40" s="116" t="n">
        <v>21</v>
      </c>
      <c r="AO40" s="116">
        <f>G40*0</f>
      </c>
      <c r="AP40" s="116">
        <f>G40*(1-0)</f>
      </c>
      <c r="AQ40" s="150" t="s">
        <v>152</v>
      </c>
      <c r="AV40" s="116">
        <f>AW40+AX40</f>
      </c>
      <c r="AW40" s="116">
        <f>F40*AO40</f>
      </c>
      <c r="AX40" s="116">
        <f>F40*AP40</f>
      </c>
      <c r="AY40" s="150" t="s">
        <v>194</v>
      </c>
      <c r="AZ40" s="150" t="s">
        <v>177</v>
      </c>
      <c r="BA40" s="131" t="s">
        <v>141</v>
      </c>
      <c r="BC40" s="116">
        <f>AW40+AX40</f>
      </c>
      <c r="BD40" s="116">
        <f>G40/(100-BE40)*100</f>
      </c>
      <c r="BE40" s="116" t="n">
        <v>0</v>
      </c>
      <c r="BF40" s="116">
        <f>40</f>
      </c>
      <c r="BH40" s="116">
        <f>F40*AO40</f>
      </c>
      <c r="BI40" s="116">
        <f>F40*AP40</f>
      </c>
      <c r="BJ40" s="116">
        <f>F40*G40</f>
      </c>
      <c r="BK40" s="116"/>
      <c r="BL40" s="116" t="n">
        <v>734</v>
      </c>
      <c r="BW40" s="116" t="n">
        <v>21</v>
      </c>
      <c r="BX40" s="14" t="s">
        <v>205</v>
      </c>
    </row>
    <row r="41">
      <c r="A41" s="144" t="s">
        <v>4</v>
      </c>
      <c r="B41" s="145" t="s">
        <v>94</v>
      </c>
      <c r="C41" s="146" t="s">
        <v>95</v>
      </c>
      <c r="D41" s="145"/>
      <c r="E41" s="147" t="s">
        <v>79</v>
      </c>
      <c r="F41" s="147" t="s">
        <v>79</v>
      </c>
      <c r="G41" s="147" t="s">
        <v>79</v>
      </c>
      <c r="H41" s="123">
        <f>SUM(H42:H54)</f>
      </c>
      <c r="I41" s="123">
        <f>SUM(I42:I54)</f>
      </c>
      <c r="J41" s="123">
        <f>SUM(J42:J54)</f>
      </c>
      <c r="K41" s="148" t="s">
        <v>4</v>
      </c>
      <c r="AI41" s="131" t="s">
        <v>4</v>
      </c>
      <c r="AS41" s="123">
        <f>SUM(AJ42:AJ54)</f>
      </c>
      <c r="AT41" s="123">
        <f>SUM(AK42:AK54)</f>
      </c>
      <c r="AU41" s="123">
        <f>SUM(AL42:AL54)</f>
      </c>
    </row>
    <row r="42">
      <c r="A42" s="9" t="s">
        <v>206</v>
      </c>
      <c r="B42" s="10" t="s">
        <v>169</v>
      </c>
      <c r="C42" s="14" t="s">
        <v>170</v>
      </c>
      <c r="D42" s="10"/>
      <c r="E42" s="10" t="s">
        <v>171</v>
      </c>
      <c r="F42" s="116" t="n">
        <v>43</v>
      </c>
      <c r="G42" s="116" t="n">
        <v>0</v>
      </c>
      <c r="H42" s="116">
        <f>F42*AO42</f>
      </c>
      <c r="I42" s="116">
        <f>F42*AP42</f>
      </c>
      <c r="J42" s="116">
        <f>F42*G42</f>
      </c>
      <c r="K42" s="149" t="s">
        <v>138</v>
      </c>
      <c r="Z42" s="116">
        <f>IF(AQ42="5",BJ42,0)</f>
      </c>
      <c r="AB42" s="116">
        <f>IF(AQ42="1",BH42,0)</f>
      </c>
      <c r="AC42" s="116">
        <f>IF(AQ42="1",BI42,0)</f>
      </c>
      <c r="AD42" s="116">
        <f>IF(AQ42="7",BH42,0)</f>
      </c>
      <c r="AE42" s="116">
        <f>IF(AQ42="7",BI42,0)</f>
      </c>
      <c r="AF42" s="116">
        <f>IF(AQ42="2",BH42,0)</f>
      </c>
      <c r="AG42" s="116">
        <f>IF(AQ42="2",BI42,0)</f>
      </c>
      <c r="AH42" s="116">
        <f>IF(AQ42="0",BJ42,0)</f>
      </c>
      <c r="AI42" s="131" t="s">
        <v>4</v>
      </c>
      <c r="AJ42" s="116">
        <f>IF(AN42=0,J42,0)</f>
      </c>
      <c r="AK42" s="116">
        <f>IF(AN42=12,J42,0)</f>
      </c>
      <c r="AL42" s="116">
        <f>IF(AN42=21,J42,0)</f>
      </c>
      <c r="AN42" s="116" t="n">
        <v>21</v>
      </c>
      <c r="AO42" s="116">
        <f>G42*0</f>
      </c>
      <c r="AP42" s="116">
        <f>G42*(1-0)</f>
      </c>
      <c r="AQ42" s="150" t="s">
        <v>159</v>
      </c>
      <c r="AV42" s="116">
        <f>AW42+AX42</f>
      </c>
      <c r="AW42" s="116">
        <f>F42*AO42</f>
      </c>
      <c r="AX42" s="116">
        <f>F42*AP42</f>
      </c>
      <c r="AY42" s="150" t="s">
        <v>207</v>
      </c>
      <c r="AZ42" s="150" t="s">
        <v>177</v>
      </c>
      <c r="BA42" s="131" t="s">
        <v>141</v>
      </c>
      <c r="BC42" s="116">
        <f>AW42+AX42</f>
      </c>
      <c r="BD42" s="116">
        <f>G42/(100-BE42)*100</f>
      </c>
      <c r="BE42" s="116" t="n">
        <v>0</v>
      </c>
      <c r="BF42" s="116">
        <f>42</f>
      </c>
      <c r="BH42" s="116">
        <f>F42*AO42</f>
      </c>
      <c r="BI42" s="116">
        <f>F42*AP42</f>
      </c>
      <c r="BJ42" s="116">
        <f>F42*G42</f>
      </c>
      <c r="BK42" s="116"/>
      <c r="BL42" s="116" t="n">
        <v>735</v>
      </c>
      <c r="BW42" s="116" t="n">
        <v>21</v>
      </c>
      <c r="BX42" s="14" t="s">
        <v>170</v>
      </c>
    </row>
    <row r="43">
      <c r="A43" s="9" t="s">
        <v>208</v>
      </c>
      <c r="B43" s="10" t="s">
        <v>209</v>
      </c>
      <c r="C43" s="14" t="s">
        <v>210</v>
      </c>
      <c r="D43" s="10"/>
      <c r="E43" s="10" t="s">
        <v>158</v>
      </c>
      <c r="F43" s="116" t="n">
        <v>4</v>
      </c>
      <c r="G43" s="116" t="n">
        <v>0</v>
      </c>
      <c r="H43" s="116">
        <f>F43*AO43</f>
      </c>
      <c r="I43" s="116">
        <f>F43*AP43</f>
      </c>
      <c r="J43" s="116">
        <f>F43*G43</f>
      </c>
      <c r="K43" s="149" t="s">
        <v>138</v>
      </c>
      <c r="Z43" s="116">
        <f>IF(AQ43="5",BJ43,0)</f>
      </c>
      <c r="AB43" s="116">
        <f>IF(AQ43="1",BH43,0)</f>
      </c>
      <c r="AC43" s="116">
        <f>IF(AQ43="1",BI43,0)</f>
      </c>
      <c r="AD43" s="116">
        <f>IF(AQ43="7",BH43,0)</f>
      </c>
      <c r="AE43" s="116">
        <f>IF(AQ43="7",BI43,0)</f>
      </c>
      <c r="AF43" s="116">
        <f>IF(AQ43="2",BH43,0)</f>
      </c>
      <c r="AG43" s="116">
        <f>IF(AQ43="2",BI43,0)</f>
      </c>
      <c r="AH43" s="116">
        <f>IF(AQ43="0",BJ43,0)</f>
      </c>
      <c r="AI43" s="131" t="s">
        <v>4</v>
      </c>
      <c r="AJ43" s="116">
        <f>IF(AN43=0,J43,0)</f>
      </c>
      <c r="AK43" s="116">
        <f>IF(AN43=12,J43,0)</f>
      </c>
      <c r="AL43" s="116">
        <f>IF(AN43=21,J43,0)</f>
      </c>
      <c r="AN43" s="116" t="n">
        <v>21</v>
      </c>
      <c r="AO43" s="116">
        <f>G43*0.169335445</f>
      </c>
      <c r="AP43" s="116">
        <f>G43*(1-0.169335445)</f>
      </c>
      <c r="AQ43" s="150" t="s">
        <v>159</v>
      </c>
      <c r="AV43" s="116">
        <f>AW43+AX43</f>
      </c>
      <c r="AW43" s="116">
        <f>F43*AO43</f>
      </c>
      <c r="AX43" s="116">
        <f>F43*AP43</f>
      </c>
      <c r="AY43" s="150" t="s">
        <v>207</v>
      </c>
      <c r="AZ43" s="150" t="s">
        <v>177</v>
      </c>
      <c r="BA43" s="131" t="s">
        <v>141</v>
      </c>
      <c r="BC43" s="116">
        <f>AW43+AX43</f>
      </c>
      <c r="BD43" s="116">
        <f>G43/(100-BE43)*100</f>
      </c>
      <c r="BE43" s="116" t="n">
        <v>0</v>
      </c>
      <c r="BF43" s="116">
        <f>43</f>
      </c>
      <c r="BH43" s="116">
        <f>F43*AO43</f>
      </c>
      <c r="BI43" s="116">
        <f>F43*AP43</f>
      </c>
      <c r="BJ43" s="116">
        <f>F43*G43</f>
      </c>
      <c r="BK43" s="116"/>
      <c r="BL43" s="116" t="n">
        <v>735</v>
      </c>
      <c r="BW43" s="116" t="n">
        <v>21</v>
      </c>
      <c r="BX43" s="14" t="s">
        <v>210</v>
      </c>
    </row>
    <row r="44">
      <c r="A44" s="9" t="s">
        <v>211</v>
      </c>
      <c r="B44" s="10" t="s">
        <v>212</v>
      </c>
      <c r="C44" s="14" t="s">
        <v>213</v>
      </c>
      <c r="D44" s="10"/>
      <c r="E44" s="10" t="s">
        <v>158</v>
      </c>
      <c r="F44" s="116" t="n">
        <v>4</v>
      </c>
      <c r="G44" s="116" t="n">
        <v>0</v>
      </c>
      <c r="H44" s="116">
        <f>F44*AO44</f>
      </c>
      <c r="I44" s="116">
        <f>F44*AP44</f>
      </c>
      <c r="J44" s="116">
        <f>F44*G44</f>
      </c>
      <c r="K44" s="149" t="s">
        <v>138</v>
      </c>
      <c r="Z44" s="116">
        <f>IF(AQ44="5",BJ44,0)</f>
      </c>
      <c r="AB44" s="116">
        <f>IF(AQ44="1",BH44,0)</f>
      </c>
      <c r="AC44" s="116">
        <f>IF(AQ44="1",BI44,0)</f>
      </c>
      <c r="AD44" s="116">
        <f>IF(AQ44="7",BH44,0)</f>
      </c>
      <c r="AE44" s="116">
        <f>IF(AQ44="7",BI44,0)</f>
      </c>
      <c r="AF44" s="116">
        <f>IF(AQ44="2",BH44,0)</f>
      </c>
      <c r="AG44" s="116">
        <f>IF(AQ44="2",BI44,0)</f>
      </c>
      <c r="AH44" s="116">
        <f>IF(AQ44="0",BJ44,0)</f>
      </c>
      <c r="AI44" s="131" t="s">
        <v>4</v>
      </c>
      <c r="AJ44" s="116">
        <f>IF(AN44=0,J44,0)</f>
      </c>
      <c r="AK44" s="116">
        <f>IF(AN44=12,J44,0)</f>
      </c>
      <c r="AL44" s="116">
        <f>IF(AN44=21,J44,0)</f>
      </c>
      <c r="AN44" s="116" t="n">
        <v>21</v>
      </c>
      <c r="AO44" s="116">
        <f>G44*0.911232982</f>
      </c>
      <c r="AP44" s="116">
        <f>G44*(1-0.911232982)</f>
      </c>
      <c r="AQ44" s="150" t="s">
        <v>159</v>
      </c>
      <c r="AV44" s="116">
        <f>AW44+AX44</f>
      </c>
      <c r="AW44" s="116">
        <f>F44*AO44</f>
      </c>
      <c r="AX44" s="116">
        <f>F44*AP44</f>
      </c>
      <c r="AY44" s="150" t="s">
        <v>207</v>
      </c>
      <c r="AZ44" s="150" t="s">
        <v>177</v>
      </c>
      <c r="BA44" s="131" t="s">
        <v>141</v>
      </c>
      <c r="BC44" s="116">
        <f>AW44+AX44</f>
      </c>
      <c r="BD44" s="116">
        <f>G44/(100-BE44)*100</f>
      </c>
      <c r="BE44" s="116" t="n">
        <v>0</v>
      </c>
      <c r="BF44" s="116">
        <f>44</f>
      </c>
      <c r="BH44" s="116">
        <f>F44*AO44</f>
      </c>
      <c r="BI44" s="116">
        <f>F44*AP44</f>
      </c>
      <c r="BJ44" s="116">
        <f>F44*G44</f>
      </c>
      <c r="BK44" s="116"/>
      <c r="BL44" s="116" t="n">
        <v>735</v>
      </c>
      <c r="BW44" s="116" t="n">
        <v>21</v>
      </c>
      <c r="BX44" s="14" t="s">
        <v>213</v>
      </c>
    </row>
    <row r="45">
      <c r="A45" s="9" t="s">
        <v>214</v>
      </c>
      <c r="B45" s="10" t="s">
        <v>215</v>
      </c>
      <c r="C45" s="14" t="s">
        <v>216</v>
      </c>
      <c r="D45" s="10"/>
      <c r="E45" s="10" t="s">
        <v>158</v>
      </c>
      <c r="F45" s="116" t="n">
        <v>13</v>
      </c>
      <c r="G45" s="116" t="n">
        <v>0</v>
      </c>
      <c r="H45" s="116">
        <f>F45*AO45</f>
      </c>
      <c r="I45" s="116">
        <f>F45*AP45</f>
      </c>
      <c r="J45" s="116">
        <f>F45*G45</f>
      </c>
      <c r="K45" s="149" t="s">
        <v>138</v>
      </c>
      <c r="Z45" s="116">
        <f>IF(AQ45="5",BJ45,0)</f>
      </c>
      <c r="AB45" s="116">
        <f>IF(AQ45="1",BH45,0)</f>
      </c>
      <c r="AC45" s="116">
        <f>IF(AQ45="1",BI45,0)</f>
      </c>
      <c r="AD45" s="116">
        <f>IF(AQ45="7",BH45,0)</f>
      </c>
      <c r="AE45" s="116">
        <f>IF(AQ45="7",BI45,0)</f>
      </c>
      <c r="AF45" s="116">
        <f>IF(AQ45="2",BH45,0)</f>
      </c>
      <c r="AG45" s="116">
        <f>IF(AQ45="2",BI45,0)</f>
      </c>
      <c r="AH45" s="116">
        <f>IF(AQ45="0",BJ45,0)</f>
      </c>
      <c r="AI45" s="131" t="s">
        <v>4</v>
      </c>
      <c r="AJ45" s="116">
        <f>IF(AN45=0,J45,0)</f>
      </c>
      <c r="AK45" s="116">
        <f>IF(AN45=12,J45,0)</f>
      </c>
      <c r="AL45" s="116">
        <f>IF(AN45=21,J45,0)</f>
      </c>
      <c r="AN45" s="116" t="n">
        <v>21</v>
      </c>
      <c r="AO45" s="116">
        <f>G45*0.907049645</f>
      </c>
      <c r="AP45" s="116">
        <f>G45*(1-0.907049645)</f>
      </c>
      <c r="AQ45" s="150" t="s">
        <v>159</v>
      </c>
      <c r="AV45" s="116">
        <f>AW45+AX45</f>
      </c>
      <c r="AW45" s="116">
        <f>F45*AO45</f>
      </c>
      <c r="AX45" s="116">
        <f>F45*AP45</f>
      </c>
      <c r="AY45" s="150" t="s">
        <v>207</v>
      </c>
      <c r="AZ45" s="150" t="s">
        <v>177</v>
      </c>
      <c r="BA45" s="131" t="s">
        <v>141</v>
      </c>
      <c r="BC45" s="116">
        <f>AW45+AX45</f>
      </c>
      <c r="BD45" s="116">
        <f>G45/(100-BE45)*100</f>
      </c>
      <c r="BE45" s="116" t="n">
        <v>0</v>
      </c>
      <c r="BF45" s="116">
        <f>45</f>
      </c>
      <c r="BH45" s="116">
        <f>F45*AO45</f>
      </c>
      <c r="BI45" s="116">
        <f>F45*AP45</f>
      </c>
      <c r="BJ45" s="116">
        <f>F45*G45</f>
      </c>
      <c r="BK45" s="116"/>
      <c r="BL45" s="116" t="n">
        <v>735</v>
      </c>
      <c r="BW45" s="116" t="n">
        <v>21</v>
      </c>
      <c r="BX45" s="14" t="s">
        <v>216</v>
      </c>
    </row>
    <row r="46">
      <c r="A46" s="9" t="s">
        <v>217</v>
      </c>
      <c r="B46" s="10" t="s">
        <v>218</v>
      </c>
      <c r="C46" s="14" t="s">
        <v>219</v>
      </c>
      <c r="D46" s="10"/>
      <c r="E46" s="10" t="s">
        <v>158</v>
      </c>
      <c r="F46" s="116" t="n">
        <v>2</v>
      </c>
      <c r="G46" s="116" t="n">
        <v>0</v>
      </c>
      <c r="H46" s="116">
        <f>F46*AO46</f>
      </c>
      <c r="I46" s="116">
        <f>F46*AP46</f>
      </c>
      <c r="J46" s="116">
        <f>F46*G46</f>
      </c>
      <c r="K46" s="149" t="s">
        <v>138</v>
      </c>
      <c r="Z46" s="116">
        <f>IF(AQ46="5",BJ46,0)</f>
      </c>
      <c r="AB46" s="116">
        <f>IF(AQ46="1",BH46,0)</f>
      </c>
      <c r="AC46" s="116">
        <f>IF(AQ46="1",BI46,0)</f>
      </c>
      <c r="AD46" s="116">
        <f>IF(AQ46="7",BH46,0)</f>
      </c>
      <c r="AE46" s="116">
        <f>IF(AQ46="7",BI46,0)</f>
      </c>
      <c r="AF46" s="116">
        <f>IF(AQ46="2",BH46,0)</f>
      </c>
      <c r="AG46" s="116">
        <f>IF(AQ46="2",BI46,0)</f>
      </c>
      <c r="AH46" s="116">
        <f>IF(AQ46="0",BJ46,0)</f>
      </c>
      <c r="AI46" s="131" t="s">
        <v>4</v>
      </c>
      <c r="AJ46" s="116">
        <f>IF(AN46=0,J46,0)</f>
      </c>
      <c r="AK46" s="116">
        <f>IF(AN46=12,J46,0)</f>
      </c>
      <c r="AL46" s="116">
        <f>IF(AN46=21,J46,0)</f>
      </c>
      <c r="AN46" s="116" t="n">
        <v>21</v>
      </c>
      <c r="AO46" s="116">
        <f>G46*0.928326563</f>
      </c>
      <c r="AP46" s="116">
        <f>G46*(1-0.928326563)</f>
      </c>
      <c r="AQ46" s="150" t="s">
        <v>159</v>
      </c>
      <c r="AV46" s="116">
        <f>AW46+AX46</f>
      </c>
      <c r="AW46" s="116">
        <f>F46*AO46</f>
      </c>
      <c r="AX46" s="116">
        <f>F46*AP46</f>
      </c>
      <c r="AY46" s="150" t="s">
        <v>207</v>
      </c>
      <c r="AZ46" s="150" t="s">
        <v>177</v>
      </c>
      <c r="BA46" s="131" t="s">
        <v>141</v>
      </c>
      <c r="BC46" s="116">
        <f>AW46+AX46</f>
      </c>
      <c r="BD46" s="116">
        <f>G46/(100-BE46)*100</f>
      </c>
      <c r="BE46" s="116" t="n">
        <v>0</v>
      </c>
      <c r="BF46" s="116">
        <f>46</f>
      </c>
      <c r="BH46" s="116">
        <f>F46*AO46</f>
      </c>
      <c r="BI46" s="116">
        <f>F46*AP46</f>
      </c>
      <c r="BJ46" s="116">
        <f>F46*G46</f>
      </c>
      <c r="BK46" s="116"/>
      <c r="BL46" s="116" t="n">
        <v>735</v>
      </c>
      <c r="BW46" s="116" t="n">
        <v>21</v>
      </c>
      <c r="BX46" s="14" t="s">
        <v>219</v>
      </c>
    </row>
    <row r="47">
      <c r="A47" s="9" t="s">
        <v>220</v>
      </c>
      <c r="B47" s="10" t="s">
        <v>221</v>
      </c>
      <c r="C47" s="14" t="s">
        <v>222</v>
      </c>
      <c r="D47" s="10"/>
      <c r="E47" s="10" t="s">
        <v>158</v>
      </c>
      <c r="F47" s="116" t="n">
        <v>1</v>
      </c>
      <c r="G47" s="116" t="n">
        <v>0</v>
      </c>
      <c r="H47" s="116">
        <f>F47*AO47</f>
      </c>
      <c r="I47" s="116">
        <f>F47*AP47</f>
      </c>
      <c r="J47" s="116">
        <f>F47*G47</f>
      </c>
      <c r="K47" s="149" t="s">
        <v>138</v>
      </c>
      <c r="Z47" s="116">
        <f>IF(AQ47="5",BJ47,0)</f>
      </c>
      <c r="AB47" s="116">
        <f>IF(AQ47="1",BH47,0)</f>
      </c>
      <c r="AC47" s="116">
        <f>IF(AQ47="1",BI47,0)</f>
      </c>
      <c r="AD47" s="116">
        <f>IF(AQ47="7",BH47,0)</f>
      </c>
      <c r="AE47" s="116">
        <f>IF(AQ47="7",BI47,0)</f>
      </c>
      <c r="AF47" s="116">
        <f>IF(AQ47="2",BH47,0)</f>
      </c>
      <c r="AG47" s="116">
        <f>IF(AQ47="2",BI47,0)</f>
      </c>
      <c r="AH47" s="116">
        <f>IF(AQ47="0",BJ47,0)</f>
      </c>
      <c r="AI47" s="131" t="s">
        <v>4</v>
      </c>
      <c r="AJ47" s="116">
        <f>IF(AN47=0,J47,0)</f>
      </c>
      <c r="AK47" s="116">
        <f>IF(AN47=12,J47,0)</f>
      </c>
      <c r="AL47" s="116">
        <f>IF(AN47=21,J47,0)</f>
      </c>
      <c r="AN47" s="116" t="n">
        <v>21</v>
      </c>
      <c r="AO47" s="116">
        <f>G47*0.931010432</f>
      </c>
      <c r="AP47" s="116">
        <f>G47*(1-0.931010432)</f>
      </c>
      <c r="AQ47" s="150" t="s">
        <v>159</v>
      </c>
      <c r="AV47" s="116">
        <f>AW47+AX47</f>
      </c>
      <c r="AW47" s="116">
        <f>F47*AO47</f>
      </c>
      <c r="AX47" s="116">
        <f>F47*AP47</f>
      </c>
      <c r="AY47" s="150" t="s">
        <v>207</v>
      </c>
      <c r="AZ47" s="150" t="s">
        <v>177</v>
      </c>
      <c r="BA47" s="131" t="s">
        <v>141</v>
      </c>
      <c r="BC47" s="116">
        <f>AW47+AX47</f>
      </c>
      <c r="BD47" s="116">
        <f>G47/(100-BE47)*100</f>
      </c>
      <c r="BE47" s="116" t="n">
        <v>0</v>
      </c>
      <c r="BF47" s="116">
        <f>47</f>
      </c>
      <c r="BH47" s="116">
        <f>F47*AO47</f>
      </c>
      <c r="BI47" s="116">
        <f>F47*AP47</f>
      </c>
      <c r="BJ47" s="116">
        <f>F47*G47</f>
      </c>
      <c r="BK47" s="116"/>
      <c r="BL47" s="116" t="n">
        <v>735</v>
      </c>
      <c r="BW47" s="116" t="n">
        <v>21</v>
      </c>
      <c r="BX47" s="14" t="s">
        <v>222</v>
      </c>
    </row>
    <row r="48">
      <c r="A48" s="9" t="s">
        <v>223</v>
      </c>
      <c r="B48" s="10" t="s">
        <v>224</v>
      </c>
      <c r="C48" s="14" t="s">
        <v>225</v>
      </c>
      <c r="D48" s="10"/>
      <c r="E48" s="10" t="s">
        <v>158</v>
      </c>
      <c r="F48" s="116" t="n">
        <v>7</v>
      </c>
      <c r="G48" s="116" t="n">
        <v>0</v>
      </c>
      <c r="H48" s="116">
        <f>F48*AO48</f>
      </c>
      <c r="I48" s="116">
        <f>F48*AP48</f>
      </c>
      <c r="J48" s="116">
        <f>F48*G48</f>
      </c>
      <c r="K48" s="149" t="s">
        <v>138</v>
      </c>
      <c r="Z48" s="116">
        <f>IF(AQ48="5",BJ48,0)</f>
      </c>
      <c r="AB48" s="116">
        <f>IF(AQ48="1",BH48,0)</f>
      </c>
      <c r="AC48" s="116">
        <f>IF(AQ48="1",BI48,0)</f>
      </c>
      <c r="AD48" s="116">
        <f>IF(AQ48="7",BH48,0)</f>
      </c>
      <c r="AE48" s="116">
        <f>IF(AQ48="7",BI48,0)</f>
      </c>
      <c r="AF48" s="116">
        <f>IF(AQ48="2",BH48,0)</f>
      </c>
      <c r="AG48" s="116">
        <f>IF(AQ48="2",BI48,0)</f>
      </c>
      <c r="AH48" s="116">
        <f>IF(AQ48="0",BJ48,0)</f>
      </c>
      <c r="AI48" s="131" t="s">
        <v>4</v>
      </c>
      <c r="AJ48" s="116">
        <f>IF(AN48=0,J48,0)</f>
      </c>
      <c r="AK48" s="116">
        <f>IF(AN48=12,J48,0)</f>
      </c>
      <c r="AL48" s="116">
        <f>IF(AN48=21,J48,0)</f>
      </c>
      <c r="AN48" s="116" t="n">
        <v>21</v>
      </c>
      <c r="AO48" s="116">
        <f>G48*0.933599728</f>
      </c>
      <c r="AP48" s="116">
        <f>G48*(1-0.933599728)</f>
      </c>
      <c r="AQ48" s="150" t="s">
        <v>159</v>
      </c>
      <c r="AV48" s="116">
        <f>AW48+AX48</f>
      </c>
      <c r="AW48" s="116">
        <f>F48*AO48</f>
      </c>
      <c r="AX48" s="116">
        <f>F48*AP48</f>
      </c>
      <c r="AY48" s="150" t="s">
        <v>207</v>
      </c>
      <c r="AZ48" s="150" t="s">
        <v>177</v>
      </c>
      <c r="BA48" s="131" t="s">
        <v>141</v>
      </c>
      <c r="BC48" s="116">
        <f>AW48+AX48</f>
      </c>
      <c r="BD48" s="116">
        <f>G48/(100-BE48)*100</f>
      </c>
      <c r="BE48" s="116" t="n">
        <v>0</v>
      </c>
      <c r="BF48" s="116">
        <f>48</f>
      </c>
      <c r="BH48" s="116">
        <f>F48*AO48</f>
      </c>
      <c r="BI48" s="116">
        <f>F48*AP48</f>
      </c>
      <c r="BJ48" s="116">
        <f>F48*G48</f>
      </c>
      <c r="BK48" s="116"/>
      <c r="BL48" s="116" t="n">
        <v>735</v>
      </c>
      <c r="BW48" s="116" t="n">
        <v>21</v>
      </c>
      <c r="BX48" s="14" t="s">
        <v>225</v>
      </c>
    </row>
    <row r="49">
      <c r="A49" s="9" t="s">
        <v>226</v>
      </c>
      <c r="B49" s="10" t="s">
        <v>227</v>
      </c>
      <c r="C49" s="14" t="s">
        <v>228</v>
      </c>
      <c r="D49" s="10"/>
      <c r="E49" s="10" t="s">
        <v>158</v>
      </c>
      <c r="F49" s="116" t="n">
        <v>1</v>
      </c>
      <c r="G49" s="116" t="n">
        <v>0</v>
      </c>
      <c r="H49" s="116">
        <f>F49*AO49</f>
      </c>
      <c r="I49" s="116">
        <f>F49*AP49</f>
      </c>
      <c r="J49" s="116">
        <f>F49*G49</f>
      </c>
      <c r="K49" s="149" t="s">
        <v>138</v>
      </c>
      <c r="Z49" s="116">
        <f>IF(AQ49="5",BJ49,0)</f>
      </c>
      <c r="AB49" s="116">
        <f>IF(AQ49="1",BH49,0)</f>
      </c>
      <c r="AC49" s="116">
        <f>IF(AQ49="1",BI49,0)</f>
      </c>
      <c r="AD49" s="116">
        <f>IF(AQ49="7",BH49,0)</f>
      </c>
      <c r="AE49" s="116">
        <f>IF(AQ49="7",BI49,0)</f>
      </c>
      <c r="AF49" s="116">
        <f>IF(AQ49="2",BH49,0)</f>
      </c>
      <c r="AG49" s="116">
        <f>IF(AQ49="2",BI49,0)</f>
      </c>
      <c r="AH49" s="116">
        <f>IF(AQ49="0",BJ49,0)</f>
      </c>
      <c r="AI49" s="131" t="s">
        <v>4</v>
      </c>
      <c r="AJ49" s="116">
        <f>IF(AN49=0,J49,0)</f>
      </c>
      <c r="AK49" s="116">
        <f>IF(AN49=12,J49,0)</f>
      </c>
      <c r="AL49" s="116">
        <f>IF(AN49=21,J49,0)</f>
      </c>
      <c r="AN49" s="116" t="n">
        <v>21</v>
      </c>
      <c r="AO49" s="116">
        <f>G49*0.938159648</f>
      </c>
      <c r="AP49" s="116">
        <f>G49*(1-0.938159648)</f>
      </c>
      <c r="AQ49" s="150" t="s">
        <v>159</v>
      </c>
      <c r="AV49" s="116">
        <f>AW49+AX49</f>
      </c>
      <c r="AW49" s="116">
        <f>F49*AO49</f>
      </c>
      <c r="AX49" s="116">
        <f>F49*AP49</f>
      </c>
      <c r="AY49" s="150" t="s">
        <v>207</v>
      </c>
      <c r="AZ49" s="150" t="s">
        <v>177</v>
      </c>
      <c r="BA49" s="131" t="s">
        <v>141</v>
      </c>
      <c r="BC49" s="116">
        <f>AW49+AX49</f>
      </c>
      <c r="BD49" s="116">
        <f>G49/(100-BE49)*100</f>
      </c>
      <c r="BE49" s="116" t="n">
        <v>0</v>
      </c>
      <c r="BF49" s="116">
        <f>49</f>
      </c>
      <c r="BH49" s="116">
        <f>F49*AO49</f>
      </c>
      <c r="BI49" s="116">
        <f>F49*AP49</f>
      </c>
      <c r="BJ49" s="116">
        <f>F49*G49</f>
      </c>
      <c r="BK49" s="116"/>
      <c r="BL49" s="116" t="n">
        <v>735</v>
      </c>
      <c r="BW49" s="116" t="n">
        <v>21</v>
      </c>
      <c r="BX49" s="14" t="s">
        <v>228</v>
      </c>
    </row>
    <row r="50">
      <c r="A50" s="9" t="s">
        <v>229</v>
      </c>
      <c r="B50" s="10" t="s">
        <v>230</v>
      </c>
      <c r="C50" s="14" t="s">
        <v>231</v>
      </c>
      <c r="D50" s="10"/>
      <c r="E50" s="10" t="s">
        <v>158</v>
      </c>
      <c r="F50" s="116" t="n">
        <v>1</v>
      </c>
      <c r="G50" s="116" t="n">
        <v>0</v>
      </c>
      <c r="H50" s="116">
        <f>F50*AO50</f>
      </c>
      <c r="I50" s="116">
        <f>F50*AP50</f>
      </c>
      <c r="J50" s="116">
        <f>F50*G50</f>
      </c>
      <c r="K50" s="149" t="s">
        <v>138</v>
      </c>
      <c r="Z50" s="116">
        <f>IF(AQ50="5",BJ50,0)</f>
      </c>
      <c r="AB50" s="116">
        <f>IF(AQ50="1",BH50,0)</f>
      </c>
      <c r="AC50" s="116">
        <f>IF(AQ50="1",BI50,0)</f>
      </c>
      <c r="AD50" s="116">
        <f>IF(AQ50="7",BH50,0)</f>
      </c>
      <c r="AE50" s="116">
        <f>IF(AQ50="7",BI50,0)</f>
      </c>
      <c r="AF50" s="116">
        <f>IF(AQ50="2",BH50,0)</f>
      </c>
      <c r="AG50" s="116">
        <f>IF(AQ50="2",BI50,0)</f>
      </c>
      <c r="AH50" s="116">
        <f>IF(AQ50="0",BJ50,0)</f>
      </c>
      <c r="AI50" s="131" t="s">
        <v>4</v>
      </c>
      <c r="AJ50" s="116">
        <f>IF(AN50=0,J50,0)</f>
      </c>
      <c r="AK50" s="116">
        <f>IF(AN50=12,J50,0)</f>
      </c>
      <c r="AL50" s="116">
        <f>IF(AN50=21,J50,0)</f>
      </c>
      <c r="AN50" s="116" t="n">
        <v>21</v>
      </c>
      <c r="AO50" s="116">
        <f>G50*0.945888099</f>
      </c>
      <c r="AP50" s="116">
        <f>G50*(1-0.945888099)</f>
      </c>
      <c r="AQ50" s="150" t="s">
        <v>159</v>
      </c>
      <c r="AV50" s="116">
        <f>AW50+AX50</f>
      </c>
      <c r="AW50" s="116">
        <f>F50*AO50</f>
      </c>
      <c r="AX50" s="116">
        <f>F50*AP50</f>
      </c>
      <c r="AY50" s="150" t="s">
        <v>207</v>
      </c>
      <c r="AZ50" s="150" t="s">
        <v>177</v>
      </c>
      <c r="BA50" s="131" t="s">
        <v>141</v>
      </c>
      <c r="BC50" s="116">
        <f>AW50+AX50</f>
      </c>
      <c r="BD50" s="116">
        <f>G50/(100-BE50)*100</f>
      </c>
      <c r="BE50" s="116" t="n">
        <v>0</v>
      </c>
      <c r="BF50" s="116">
        <f>50</f>
      </c>
      <c r="BH50" s="116">
        <f>F50*AO50</f>
      </c>
      <c r="BI50" s="116">
        <f>F50*AP50</f>
      </c>
      <c r="BJ50" s="116">
        <f>F50*G50</f>
      </c>
      <c r="BK50" s="116"/>
      <c r="BL50" s="116" t="n">
        <v>735</v>
      </c>
      <c r="BW50" s="116" t="n">
        <v>21</v>
      </c>
      <c r="BX50" s="14" t="s">
        <v>231</v>
      </c>
    </row>
    <row r="51">
      <c r="A51" s="9" t="s">
        <v>232</v>
      </c>
      <c r="B51" s="10" t="s">
        <v>233</v>
      </c>
      <c r="C51" s="14" t="s">
        <v>234</v>
      </c>
      <c r="D51" s="10"/>
      <c r="E51" s="10" t="s">
        <v>158</v>
      </c>
      <c r="F51" s="116" t="n">
        <v>2</v>
      </c>
      <c r="G51" s="116" t="n">
        <v>0</v>
      </c>
      <c r="H51" s="116">
        <f>F51*AO51</f>
      </c>
      <c r="I51" s="116">
        <f>F51*AP51</f>
      </c>
      <c r="J51" s="116">
        <f>F51*G51</f>
      </c>
      <c r="K51" s="149" t="s">
        <v>138</v>
      </c>
      <c r="Z51" s="116">
        <f>IF(AQ51="5",BJ51,0)</f>
      </c>
      <c r="AB51" s="116">
        <f>IF(AQ51="1",BH51,0)</f>
      </c>
      <c r="AC51" s="116">
        <f>IF(AQ51="1",BI51,0)</f>
      </c>
      <c r="AD51" s="116">
        <f>IF(AQ51="7",BH51,0)</f>
      </c>
      <c r="AE51" s="116">
        <f>IF(AQ51="7",BI51,0)</f>
      </c>
      <c r="AF51" s="116">
        <f>IF(AQ51="2",BH51,0)</f>
      </c>
      <c r="AG51" s="116">
        <f>IF(AQ51="2",BI51,0)</f>
      </c>
      <c r="AH51" s="116">
        <f>IF(AQ51="0",BJ51,0)</f>
      </c>
      <c r="AI51" s="131" t="s">
        <v>4</v>
      </c>
      <c r="AJ51" s="116">
        <f>IF(AN51=0,J51,0)</f>
      </c>
      <c r="AK51" s="116">
        <f>IF(AN51=12,J51,0)</f>
      </c>
      <c r="AL51" s="116">
        <f>IF(AN51=21,J51,0)</f>
      </c>
      <c r="AN51" s="116" t="n">
        <v>21</v>
      </c>
      <c r="AO51" s="116">
        <f>G51*0.951287299</f>
      </c>
      <c r="AP51" s="116">
        <f>G51*(1-0.951287299)</f>
      </c>
      <c r="AQ51" s="150" t="s">
        <v>159</v>
      </c>
      <c r="AV51" s="116">
        <f>AW51+AX51</f>
      </c>
      <c r="AW51" s="116">
        <f>F51*AO51</f>
      </c>
      <c r="AX51" s="116">
        <f>F51*AP51</f>
      </c>
      <c r="AY51" s="150" t="s">
        <v>207</v>
      </c>
      <c r="AZ51" s="150" t="s">
        <v>177</v>
      </c>
      <c r="BA51" s="131" t="s">
        <v>141</v>
      </c>
      <c r="BC51" s="116">
        <f>AW51+AX51</f>
      </c>
      <c r="BD51" s="116">
        <f>G51/(100-BE51)*100</f>
      </c>
      <c r="BE51" s="116" t="n">
        <v>0</v>
      </c>
      <c r="BF51" s="116">
        <f>51</f>
      </c>
      <c r="BH51" s="116">
        <f>F51*AO51</f>
      </c>
      <c r="BI51" s="116">
        <f>F51*AP51</f>
      </c>
      <c r="BJ51" s="116">
        <f>F51*G51</f>
      </c>
      <c r="BK51" s="116"/>
      <c r="BL51" s="116" t="n">
        <v>735</v>
      </c>
      <c r="BW51" s="116" t="n">
        <v>21</v>
      </c>
      <c r="BX51" s="14" t="s">
        <v>234</v>
      </c>
    </row>
    <row r="52">
      <c r="A52" s="9" t="s">
        <v>235</v>
      </c>
      <c r="B52" s="10" t="s">
        <v>236</v>
      </c>
      <c r="C52" s="14" t="s">
        <v>237</v>
      </c>
      <c r="D52" s="10"/>
      <c r="E52" s="10" t="s">
        <v>158</v>
      </c>
      <c r="F52" s="116" t="n">
        <v>1</v>
      </c>
      <c r="G52" s="116" t="n">
        <v>0</v>
      </c>
      <c r="H52" s="116">
        <f>F52*AO52</f>
      </c>
      <c r="I52" s="116">
        <f>F52*AP52</f>
      </c>
      <c r="J52" s="116">
        <f>F52*G52</f>
      </c>
      <c r="K52" s="149" t="s">
        <v>138</v>
      </c>
      <c r="Z52" s="116">
        <f>IF(AQ52="5",BJ52,0)</f>
      </c>
      <c r="AB52" s="116">
        <f>IF(AQ52="1",BH52,0)</f>
      </c>
      <c r="AC52" s="116">
        <f>IF(AQ52="1",BI52,0)</f>
      </c>
      <c r="AD52" s="116">
        <f>IF(AQ52="7",BH52,0)</f>
      </c>
      <c r="AE52" s="116">
        <f>IF(AQ52="7",BI52,0)</f>
      </c>
      <c r="AF52" s="116">
        <f>IF(AQ52="2",BH52,0)</f>
      </c>
      <c r="AG52" s="116">
        <f>IF(AQ52="2",BI52,0)</f>
      </c>
      <c r="AH52" s="116">
        <f>IF(AQ52="0",BJ52,0)</f>
      </c>
      <c r="AI52" s="131" t="s">
        <v>4</v>
      </c>
      <c r="AJ52" s="116">
        <f>IF(AN52=0,J52,0)</f>
      </c>
      <c r="AK52" s="116">
        <f>IF(AN52=12,J52,0)</f>
      </c>
      <c r="AL52" s="116">
        <f>IF(AN52=21,J52,0)</f>
      </c>
      <c r="AN52" s="116" t="n">
        <v>21</v>
      </c>
      <c r="AO52" s="116">
        <f>G52*0.952677362</f>
      </c>
      <c r="AP52" s="116">
        <f>G52*(1-0.952677362)</f>
      </c>
      <c r="AQ52" s="150" t="s">
        <v>159</v>
      </c>
      <c r="AV52" s="116">
        <f>AW52+AX52</f>
      </c>
      <c r="AW52" s="116">
        <f>F52*AO52</f>
      </c>
      <c r="AX52" s="116">
        <f>F52*AP52</f>
      </c>
      <c r="AY52" s="150" t="s">
        <v>207</v>
      </c>
      <c r="AZ52" s="150" t="s">
        <v>177</v>
      </c>
      <c r="BA52" s="131" t="s">
        <v>141</v>
      </c>
      <c r="BC52" s="116">
        <f>AW52+AX52</f>
      </c>
      <c r="BD52" s="116">
        <f>G52/(100-BE52)*100</f>
      </c>
      <c r="BE52" s="116" t="n">
        <v>0</v>
      </c>
      <c r="BF52" s="116">
        <f>52</f>
      </c>
      <c r="BH52" s="116">
        <f>F52*AO52</f>
      </c>
      <c r="BI52" s="116">
        <f>F52*AP52</f>
      </c>
      <c r="BJ52" s="116">
        <f>F52*G52</f>
      </c>
      <c r="BK52" s="116"/>
      <c r="BL52" s="116" t="n">
        <v>735</v>
      </c>
      <c r="BW52" s="116" t="n">
        <v>21</v>
      </c>
      <c r="BX52" s="14" t="s">
        <v>237</v>
      </c>
    </row>
    <row r="53">
      <c r="A53" s="9" t="s">
        <v>238</v>
      </c>
      <c r="B53" s="10" t="s">
        <v>239</v>
      </c>
      <c r="C53" s="14" t="s">
        <v>240</v>
      </c>
      <c r="D53" s="10"/>
      <c r="E53" s="10" t="s">
        <v>158</v>
      </c>
      <c r="F53" s="116" t="n">
        <v>26</v>
      </c>
      <c r="G53" s="116" t="n">
        <v>0</v>
      </c>
      <c r="H53" s="116">
        <f>F53*AO53</f>
      </c>
      <c r="I53" s="116">
        <f>F53*AP53</f>
      </c>
      <c r="J53" s="116">
        <f>F53*G53</f>
      </c>
      <c r="K53" s="149" t="s">
        <v>138</v>
      </c>
      <c r="Z53" s="116">
        <f>IF(AQ53="5",BJ53,0)</f>
      </c>
      <c r="AB53" s="116">
        <f>IF(AQ53="1",BH53,0)</f>
      </c>
      <c r="AC53" s="116">
        <f>IF(AQ53="1",BI53,0)</f>
      </c>
      <c r="AD53" s="116">
        <f>IF(AQ53="7",BH53,0)</f>
      </c>
      <c r="AE53" s="116">
        <f>IF(AQ53="7",BI53,0)</f>
      </c>
      <c r="AF53" s="116">
        <f>IF(AQ53="2",BH53,0)</f>
      </c>
      <c r="AG53" s="116">
        <f>IF(AQ53="2",BI53,0)</f>
      </c>
      <c r="AH53" s="116">
        <f>IF(AQ53="0",BJ53,0)</f>
      </c>
      <c r="AI53" s="131" t="s">
        <v>4</v>
      </c>
      <c r="AJ53" s="116">
        <f>IF(AN53=0,J53,0)</f>
      </c>
      <c r="AK53" s="116">
        <f>IF(AN53=12,J53,0)</f>
      </c>
      <c r="AL53" s="116">
        <f>IF(AN53=21,J53,0)</f>
      </c>
      <c r="AN53" s="116" t="n">
        <v>21</v>
      </c>
      <c r="AO53" s="116">
        <f>G53*0.786628734</f>
      </c>
      <c r="AP53" s="116">
        <f>G53*(1-0.786628734)</f>
      </c>
      <c r="AQ53" s="150" t="s">
        <v>159</v>
      </c>
      <c r="AV53" s="116">
        <f>AW53+AX53</f>
      </c>
      <c r="AW53" s="116">
        <f>F53*AO53</f>
      </c>
      <c r="AX53" s="116">
        <f>F53*AP53</f>
      </c>
      <c r="AY53" s="150" t="s">
        <v>207</v>
      </c>
      <c r="AZ53" s="150" t="s">
        <v>177</v>
      </c>
      <c r="BA53" s="131" t="s">
        <v>141</v>
      </c>
      <c r="BC53" s="116">
        <f>AW53+AX53</f>
      </c>
      <c r="BD53" s="116">
        <f>G53/(100-BE53)*100</f>
      </c>
      <c r="BE53" s="116" t="n">
        <v>0</v>
      </c>
      <c r="BF53" s="116">
        <f>53</f>
      </c>
      <c r="BH53" s="116">
        <f>F53*AO53</f>
      </c>
      <c r="BI53" s="116">
        <f>F53*AP53</f>
      </c>
      <c r="BJ53" s="116">
        <f>F53*G53</f>
      </c>
      <c r="BK53" s="116"/>
      <c r="BL53" s="116" t="n">
        <v>735</v>
      </c>
      <c r="BW53" s="116" t="n">
        <v>21</v>
      </c>
      <c r="BX53" s="14" t="s">
        <v>240</v>
      </c>
    </row>
    <row r="54">
      <c r="A54" s="9" t="s">
        <v>241</v>
      </c>
      <c r="B54" s="10" t="s">
        <v>242</v>
      </c>
      <c r="C54" s="14" t="s">
        <v>243</v>
      </c>
      <c r="D54" s="10"/>
      <c r="E54" s="10" t="s">
        <v>61</v>
      </c>
      <c r="F54" s="116" t="n">
        <v>1600</v>
      </c>
      <c r="G54" s="116" t="n">
        <v>0</v>
      </c>
      <c r="H54" s="116">
        <f>F54*AO54</f>
      </c>
      <c r="I54" s="116">
        <f>F54*AP54</f>
      </c>
      <c r="J54" s="116">
        <f>F54*G54</f>
      </c>
      <c r="K54" s="149" t="s">
        <v>138</v>
      </c>
      <c r="Z54" s="116">
        <f>IF(AQ54="5",BJ54,0)</f>
      </c>
      <c r="AB54" s="116">
        <f>IF(AQ54="1",BH54,0)</f>
      </c>
      <c r="AC54" s="116">
        <f>IF(AQ54="1",BI54,0)</f>
      </c>
      <c r="AD54" s="116">
        <f>IF(AQ54="7",BH54,0)</f>
      </c>
      <c r="AE54" s="116">
        <f>IF(AQ54="7",BI54,0)</f>
      </c>
      <c r="AF54" s="116">
        <f>IF(AQ54="2",BH54,0)</f>
      </c>
      <c r="AG54" s="116">
        <f>IF(AQ54="2",BI54,0)</f>
      </c>
      <c r="AH54" s="116">
        <f>IF(AQ54="0",BJ54,0)</f>
      </c>
      <c r="AI54" s="131" t="s">
        <v>4</v>
      </c>
      <c r="AJ54" s="116">
        <f>IF(AN54=0,J54,0)</f>
      </c>
      <c r="AK54" s="116">
        <f>IF(AN54=12,J54,0)</f>
      </c>
      <c r="AL54" s="116">
        <f>IF(AN54=21,J54,0)</f>
      </c>
      <c r="AN54" s="116" t="n">
        <v>21</v>
      </c>
      <c r="AO54" s="116">
        <f>G54*0</f>
      </c>
      <c r="AP54" s="116">
        <f>G54*(1-0)</f>
      </c>
      <c r="AQ54" s="150" t="s">
        <v>152</v>
      </c>
      <c r="AV54" s="116">
        <f>AW54+AX54</f>
      </c>
      <c r="AW54" s="116">
        <f>F54*AO54</f>
      </c>
      <c r="AX54" s="116">
        <f>F54*AP54</f>
      </c>
      <c r="AY54" s="150" t="s">
        <v>207</v>
      </c>
      <c r="AZ54" s="150" t="s">
        <v>177</v>
      </c>
      <c r="BA54" s="131" t="s">
        <v>141</v>
      </c>
      <c r="BC54" s="116">
        <f>AW54+AX54</f>
      </c>
      <c r="BD54" s="116">
        <f>G54/(100-BE54)*100</f>
      </c>
      <c r="BE54" s="116" t="n">
        <v>0</v>
      </c>
      <c r="BF54" s="116">
        <f>54</f>
      </c>
      <c r="BH54" s="116">
        <f>F54*AO54</f>
      </c>
      <c r="BI54" s="116">
        <f>F54*AP54</f>
      </c>
      <c r="BJ54" s="116">
        <f>F54*G54</f>
      </c>
      <c r="BK54" s="116"/>
      <c r="BL54" s="116" t="n">
        <v>735</v>
      </c>
      <c r="BW54" s="116" t="n">
        <v>21</v>
      </c>
      <c r="BX54" s="14" t="s">
        <v>243</v>
      </c>
    </row>
    <row r="55">
      <c r="A55" s="144" t="s">
        <v>4</v>
      </c>
      <c r="B55" s="145" t="s">
        <v>96</v>
      </c>
      <c r="C55" s="146" t="s">
        <v>97</v>
      </c>
      <c r="D55" s="145"/>
      <c r="E55" s="147" t="s">
        <v>79</v>
      </c>
      <c r="F55" s="147" t="s">
        <v>79</v>
      </c>
      <c r="G55" s="147" t="s">
        <v>79</v>
      </c>
      <c r="H55" s="123">
        <f>SUM(H56:H56)</f>
      </c>
      <c r="I55" s="123">
        <f>SUM(I56:I56)</f>
      </c>
      <c r="J55" s="123">
        <f>SUM(J56:J56)</f>
      </c>
      <c r="K55" s="148" t="s">
        <v>4</v>
      </c>
      <c r="AI55" s="131" t="s">
        <v>4</v>
      </c>
      <c r="AS55" s="123">
        <f>SUM(AJ56:AJ56)</f>
      </c>
      <c r="AT55" s="123">
        <f>SUM(AK56:AK56)</f>
      </c>
      <c r="AU55" s="123">
        <f>SUM(AL56:AL56)</f>
      </c>
    </row>
    <row r="56" ht="24.75">
      <c r="A56" s="9" t="s">
        <v>244</v>
      </c>
      <c r="B56" s="10" t="s">
        <v>146</v>
      </c>
      <c r="C56" s="14" t="s">
        <v>147</v>
      </c>
      <c r="D56" s="10"/>
      <c r="E56" s="10" t="s">
        <v>148</v>
      </c>
      <c r="F56" s="116" t="n">
        <v>30</v>
      </c>
      <c r="G56" s="116" t="n">
        <v>0</v>
      </c>
      <c r="H56" s="116">
        <f>F56*AO56</f>
      </c>
      <c r="I56" s="116">
        <f>F56*AP56</f>
      </c>
      <c r="J56" s="116">
        <f>F56*G56</f>
      </c>
      <c r="K56" s="149" t="s">
        <v>138</v>
      </c>
      <c r="Z56" s="116">
        <f>IF(AQ56="5",BJ56,0)</f>
      </c>
      <c r="AB56" s="116">
        <f>IF(AQ56="1",BH56,0)</f>
      </c>
      <c r="AC56" s="116">
        <f>IF(AQ56="1",BI56,0)</f>
      </c>
      <c r="AD56" s="116">
        <f>IF(AQ56="7",BH56,0)</f>
      </c>
      <c r="AE56" s="116">
        <f>IF(AQ56="7",BI56,0)</f>
      </c>
      <c r="AF56" s="116">
        <f>IF(AQ56="2",BH56,0)</f>
      </c>
      <c r="AG56" s="116">
        <f>IF(AQ56="2",BI56,0)</f>
      </c>
      <c r="AH56" s="116">
        <f>IF(AQ56="0",BJ56,0)</f>
      </c>
      <c r="AI56" s="131" t="s">
        <v>4</v>
      </c>
      <c r="AJ56" s="116">
        <f>IF(AN56=0,J56,0)</f>
      </c>
      <c r="AK56" s="116">
        <f>IF(AN56=12,J56,0)</f>
      </c>
      <c r="AL56" s="116">
        <f>IF(AN56=21,J56,0)</f>
      </c>
      <c r="AN56" s="116" t="n">
        <v>21</v>
      </c>
      <c r="AO56" s="116">
        <f>G56*1</f>
      </c>
      <c r="AP56" s="116">
        <f>G56*(1-1)</f>
      </c>
      <c r="AQ56" s="150" t="s">
        <v>159</v>
      </c>
      <c r="AV56" s="116">
        <f>AW56+AX56</f>
      </c>
      <c r="AW56" s="116">
        <f>F56*AO56</f>
      </c>
      <c r="AX56" s="116">
        <f>F56*AP56</f>
      </c>
      <c r="AY56" s="150" t="s">
        <v>245</v>
      </c>
      <c r="AZ56" s="150" t="s">
        <v>246</v>
      </c>
      <c r="BA56" s="131" t="s">
        <v>141</v>
      </c>
      <c r="BC56" s="116">
        <f>AW56+AX56</f>
      </c>
      <c r="BD56" s="116">
        <f>G56/(100-BE56)*100</f>
      </c>
      <c r="BE56" s="116" t="n">
        <v>0</v>
      </c>
      <c r="BF56" s="116">
        <f>56</f>
      </c>
      <c r="BH56" s="116">
        <f>F56*AO56</f>
      </c>
      <c r="BI56" s="116">
        <f>F56*AP56</f>
      </c>
      <c r="BJ56" s="116">
        <f>F56*G56</f>
      </c>
      <c r="BK56" s="116"/>
      <c r="BL56" s="116" t="n">
        <v>767</v>
      </c>
      <c r="BW56" s="116" t="n">
        <v>21</v>
      </c>
      <c r="BX56" s="14" t="s">
        <v>147</v>
      </c>
    </row>
    <row r="57">
      <c r="A57" s="144" t="s">
        <v>4</v>
      </c>
      <c r="B57" s="145" t="s">
        <v>98</v>
      </c>
      <c r="C57" s="146" t="s">
        <v>99</v>
      </c>
      <c r="D57" s="145"/>
      <c r="E57" s="147" t="s">
        <v>79</v>
      </c>
      <c r="F57" s="147" t="s">
        <v>79</v>
      </c>
      <c r="G57" s="147" t="s">
        <v>79</v>
      </c>
      <c r="H57" s="123">
        <f>SUM(H58:H58)</f>
      </c>
      <c r="I57" s="123">
        <f>SUM(I58:I58)</f>
      </c>
      <c r="J57" s="123">
        <f>SUM(J58:J58)</f>
      </c>
      <c r="K57" s="148" t="s">
        <v>4</v>
      </c>
      <c r="AI57" s="131" t="s">
        <v>4</v>
      </c>
      <c r="AS57" s="123">
        <f>SUM(AJ58:AJ58)</f>
      </c>
      <c r="AT57" s="123">
        <f>SUM(AK58:AK58)</f>
      </c>
      <c r="AU57" s="123">
        <f>SUM(AL58:AL58)</f>
      </c>
    </row>
    <row r="58">
      <c r="A58" s="9" t="s">
        <v>247</v>
      </c>
      <c r="B58" s="10" t="s">
        <v>143</v>
      </c>
      <c r="C58" s="14" t="s">
        <v>144</v>
      </c>
      <c r="D58" s="10"/>
      <c r="E58" s="10" t="s">
        <v>137</v>
      </c>
      <c r="F58" s="116" t="n">
        <v>79</v>
      </c>
      <c r="G58" s="116" t="n">
        <v>0</v>
      </c>
      <c r="H58" s="116">
        <f>F58*AO58</f>
      </c>
      <c r="I58" s="116">
        <f>F58*AP58</f>
      </c>
      <c r="J58" s="116">
        <f>F58*G58</f>
      </c>
      <c r="K58" s="149" t="s">
        <v>138</v>
      </c>
      <c r="Z58" s="116">
        <f>IF(AQ58="5",BJ58,0)</f>
      </c>
      <c r="AB58" s="116">
        <f>IF(AQ58="1",BH58,0)</f>
      </c>
      <c r="AC58" s="116">
        <f>IF(AQ58="1",BI58,0)</f>
      </c>
      <c r="AD58" s="116">
        <f>IF(AQ58="7",BH58,0)</f>
      </c>
      <c r="AE58" s="116">
        <f>IF(AQ58="7",BI58,0)</f>
      </c>
      <c r="AF58" s="116">
        <f>IF(AQ58="2",BH58,0)</f>
      </c>
      <c r="AG58" s="116">
        <f>IF(AQ58="2",BI58,0)</f>
      </c>
      <c r="AH58" s="116">
        <f>IF(AQ58="0",BJ58,0)</f>
      </c>
      <c r="AI58" s="131" t="s">
        <v>4</v>
      </c>
      <c r="AJ58" s="116">
        <f>IF(AN58=0,J58,0)</f>
      </c>
      <c r="AK58" s="116">
        <f>IF(AN58=12,J58,0)</f>
      </c>
      <c r="AL58" s="116">
        <f>IF(AN58=21,J58,0)</f>
      </c>
      <c r="AN58" s="116" t="n">
        <v>21</v>
      </c>
      <c r="AO58" s="116">
        <f>G58*0.212765957</f>
      </c>
      <c r="AP58" s="116">
        <f>G58*(1-0.212765957)</f>
      </c>
      <c r="AQ58" s="150" t="s">
        <v>159</v>
      </c>
      <c r="AV58" s="116">
        <f>AW58+AX58</f>
      </c>
      <c r="AW58" s="116">
        <f>F58*AO58</f>
      </c>
      <c r="AX58" s="116">
        <f>F58*AP58</f>
      </c>
      <c r="AY58" s="150" t="s">
        <v>248</v>
      </c>
      <c r="AZ58" s="150" t="s">
        <v>249</v>
      </c>
      <c r="BA58" s="131" t="s">
        <v>141</v>
      </c>
      <c r="BC58" s="116">
        <f>AW58+AX58</f>
      </c>
      <c r="BD58" s="116">
        <f>G58/(100-BE58)*100</f>
      </c>
      <c r="BE58" s="116" t="n">
        <v>0</v>
      </c>
      <c r="BF58" s="116">
        <f>58</f>
      </c>
      <c r="BH58" s="116">
        <f>F58*AO58</f>
      </c>
      <c r="BI58" s="116">
        <f>F58*AP58</f>
      </c>
      <c r="BJ58" s="116">
        <f>F58*G58</f>
      </c>
      <c r="BK58" s="116"/>
      <c r="BL58" s="116" t="n">
        <v>783</v>
      </c>
      <c r="BW58" s="116" t="n">
        <v>21</v>
      </c>
      <c r="BX58" s="14" t="s">
        <v>144</v>
      </c>
    </row>
    <row r="59">
      <c r="A59" s="144" t="s">
        <v>4</v>
      </c>
      <c r="B59" s="145" t="s">
        <v>100</v>
      </c>
      <c r="C59" s="146" t="s">
        <v>57</v>
      </c>
      <c r="D59" s="145"/>
      <c r="E59" s="147" t="s">
        <v>79</v>
      </c>
      <c r="F59" s="147" t="s">
        <v>79</v>
      </c>
      <c r="G59" s="147" t="s">
        <v>79</v>
      </c>
      <c r="H59" s="123">
        <f>H60</f>
      </c>
      <c r="I59" s="123">
        <f>I60</f>
      </c>
      <c r="J59" s="123">
        <f>J60</f>
      </c>
      <c r="K59" s="148" t="s">
        <v>4</v>
      </c>
      <c r="AI59" s="131" t="s">
        <v>4</v>
      </c>
    </row>
    <row r="60">
      <c r="A60" s="144" t="s">
        <v>4</v>
      </c>
      <c r="B60" s="145" t="s">
        <v>101</v>
      </c>
      <c r="C60" s="146" t="s">
        <v>73</v>
      </c>
      <c r="D60" s="145"/>
      <c r="E60" s="147" t="s">
        <v>79</v>
      </c>
      <c r="F60" s="147" t="s">
        <v>79</v>
      </c>
      <c r="G60" s="147" t="s">
        <v>79</v>
      </c>
      <c r="H60" s="123">
        <f>SUM(H61:H62)</f>
      </c>
      <c r="I60" s="123">
        <f>SUM(I61:I62)</f>
      </c>
      <c r="J60" s="123">
        <f>SUM(J61:J62)</f>
      </c>
      <c r="K60" s="148" t="s">
        <v>4</v>
      </c>
      <c r="AI60" s="131" t="s">
        <v>4</v>
      </c>
      <c r="AS60" s="123">
        <f>SUM(AJ61:AJ62)</f>
      </c>
      <c r="AT60" s="123">
        <f>SUM(AK61:AK62)</f>
      </c>
      <c r="AU60" s="123">
        <f>SUM(AL61:AL62)</f>
      </c>
    </row>
    <row r="61">
      <c r="A61" s="9" t="s">
        <v>250</v>
      </c>
      <c r="B61" s="10" t="s">
        <v>251</v>
      </c>
      <c r="C61" s="14" t="s">
        <v>25</v>
      </c>
      <c r="D61" s="10"/>
      <c r="E61" s="10" t="s">
        <v>252</v>
      </c>
      <c r="F61" s="116" t="n">
        <v>1</v>
      </c>
      <c r="G61" s="116" t="n">
        <v>0</v>
      </c>
      <c r="H61" s="116">
        <f>F61*AO61</f>
      </c>
      <c r="I61" s="116">
        <f>F61*AP61</f>
      </c>
      <c r="J61" s="116">
        <f>F61*G61</f>
      </c>
      <c r="K61" s="149" t="s">
        <v>4</v>
      </c>
      <c r="Z61" s="116">
        <f>IF(AQ61="5",BJ61,0)</f>
      </c>
      <c r="AB61" s="116">
        <f>IF(AQ61="1",BH61,0)</f>
      </c>
      <c r="AC61" s="116">
        <f>IF(AQ61="1",BI61,0)</f>
      </c>
      <c r="AD61" s="116">
        <f>IF(AQ61="7",BH61,0)</f>
      </c>
      <c r="AE61" s="116">
        <f>IF(AQ61="7",BI61,0)</f>
      </c>
      <c r="AF61" s="116">
        <f>IF(AQ61="2",BH61,0)</f>
      </c>
      <c r="AG61" s="116">
        <f>IF(AQ61="2",BI61,0)</f>
      </c>
      <c r="AH61" s="116">
        <f>IF(AQ61="0",BJ61,0)</f>
      </c>
      <c r="AI61" s="131" t="s">
        <v>4</v>
      </c>
      <c r="AJ61" s="116">
        <f>IF(AN61=0,J61,0)</f>
      </c>
      <c r="AK61" s="116">
        <f>IF(AN61=12,J61,0)</f>
      </c>
      <c r="AL61" s="116">
        <f>IF(AN61=21,J61,0)</f>
      </c>
      <c r="AN61" s="116" t="n">
        <v>21</v>
      </c>
      <c r="AO61" s="116">
        <f>G61*0</f>
      </c>
      <c r="AP61" s="116">
        <f>G61*(1-0)</f>
      </c>
      <c r="AQ61" s="150" t="s">
        <v>253</v>
      </c>
      <c r="AV61" s="116">
        <f>AW61+AX61</f>
      </c>
      <c r="AW61" s="116">
        <f>F61*AO61</f>
      </c>
      <c r="AX61" s="116">
        <f>F61*AP61</f>
      </c>
      <c r="AY61" s="150" t="s">
        <v>254</v>
      </c>
      <c r="AZ61" s="150" t="s">
        <v>255</v>
      </c>
      <c r="BA61" s="131" t="s">
        <v>141</v>
      </c>
      <c r="BC61" s="116">
        <f>AW61+AX61</f>
      </c>
      <c r="BD61" s="116">
        <f>G61/(100-BE61)*100</f>
      </c>
      <c r="BE61" s="116" t="n">
        <v>0</v>
      </c>
      <c r="BF61" s="116">
        <f>61</f>
      </c>
      <c r="BH61" s="116">
        <f>F61*AO61</f>
      </c>
      <c r="BI61" s="116">
        <f>F61*AP61</f>
      </c>
      <c r="BJ61" s="116">
        <f>F61*G61</f>
      </c>
      <c r="BK61" s="116"/>
      <c r="BL61" s="116"/>
      <c r="BU61" s="116">
        <f>F61*G61</f>
      </c>
      <c r="BW61" s="116" t="n">
        <v>21</v>
      </c>
      <c r="BX61" s="14" t="s">
        <v>25</v>
      </c>
    </row>
    <row r="62">
      <c r="A62" s="17" t="s">
        <v>256</v>
      </c>
      <c r="B62" s="18" t="s">
        <v>257</v>
      </c>
      <c r="C62" s="151" t="s">
        <v>258</v>
      </c>
      <c r="D62" s="18"/>
      <c r="E62" s="18" t="s">
        <v>252</v>
      </c>
      <c r="F62" s="118" t="n">
        <v>1</v>
      </c>
      <c r="G62" s="118" t="n">
        <v>0</v>
      </c>
      <c r="H62" s="118">
        <f>F62*AO62</f>
      </c>
      <c r="I62" s="118">
        <f>F62*AP62</f>
      </c>
      <c r="J62" s="118">
        <f>F62*G62</f>
      </c>
      <c r="K62" s="152" t="s">
        <v>4</v>
      </c>
      <c r="Z62" s="116">
        <f>IF(AQ62="5",BJ62,0)</f>
      </c>
      <c r="AB62" s="116">
        <f>IF(AQ62="1",BH62,0)</f>
      </c>
      <c r="AC62" s="116">
        <f>IF(AQ62="1",BI62,0)</f>
      </c>
      <c r="AD62" s="116">
        <f>IF(AQ62="7",BH62,0)</f>
      </c>
      <c r="AE62" s="116">
        <f>IF(AQ62="7",BI62,0)</f>
      </c>
      <c r="AF62" s="116">
        <f>IF(AQ62="2",BH62,0)</f>
      </c>
      <c r="AG62" s="116">
        <f>IF(AQ62="2",BI62,0)</f>
      </c>
      <c r="AH62" s="116">
        <f>IF(AQ62="0",BJ62,0)</f>
      </c>
      <c r="AI62" s="131" t="s">
        <v>4</v>
      </c>
      <c r="AJ62" s="116">
        <f>IF(AN62=0,J62,0)</f>
      </c>
      <c r="AK62" s="116">
        <f>IF(AN62=12,J62,0)</f>
      </c>
      <c r="AL62" s="116">
        <f>IF(AN62=21,J62,0)</f>
      </c>
      <c r="AN62" s="116" t="n">
        <v>21</v>
      </c>
      <c r="AO62" s="116">
        <f>G62*0</f>
      </c>
      <c r="AP62" s="116">
        <f>G62*(1-0)</f>
      </c>
      <c r="AQ62" s="150" t="s">
        <v>253</v>
      </c>
      <c r="AV62" s="116">
        <f>AW62+AX62</f>
      </c>
      <c r="AW62" s="116">
        <f>F62*AO62</f>
      </c>
      <c r="AX62" s="116">
        <f>F62*AP62</f>
      </c>
      <c r="AY62" s="150" t="s">
        <v>254</v>
      </c>
      <c r="AZ62" s="150" t="s">
        <v>255</v>
      </c>
      <c r="BA62" s="131" t="s">
        <v>141</v>
      </c>
      <c r="BC62" s="116">
        <f>AW62+AX62</f>
      </c>
      <c r="BD62" s="116">
        <f>G62/(100-BE62)*100</f>
      </c>
      <c r="BE62" s="116" t="n">
        <v>0</v>
      </c>
      <c r="BF62" s="116">
        <f>62</f>
      </c>
      <c r="BH62" s="116">
        <f>F62*AO62</f>
      </c>
      <c r="BI62" s="116">
        <f>F62*AP62</f>
      </c>
      <c r="BJ62" s="116">
        <f>F62*G62</f>
      </c>
      <c r="BK62" s="116"/>
      <c r="BL62" s="116"/>
      <c r="BU62" s="116">
        <f>F62*G62</f>
      </c>
      <c r="BW62" s="116" t="n">
        <v>21</v>
      </c>
      <c r="BX62" s="14" t="s">
        <v>258</v>
      </c>
    </row>
    <row r="63">
      <c r="H63" s="120" t="s">
        <v>102</v>
      </c>
      <c r="I63" s="120"/>
      <c r="J63" s="121">
        <f>J13+J25+J34+J41+J55+J57+J60</f>
      </c>
    </row>
    <row r="64">
      <c r="A64" s="122" t="s">
        <v>56</v>
      </c>
    </row>
    <row r="65" customHeight="true" ht="12.75">
      <c r="A65" s="14" t="s">
        <v>4</v>
      </c>
      <c r="B65" s="10"/>
      <c r="C65" s="10"/>
      <c r="D65" s="10"/>
      <c r="E65" s="10"/>
      <c r="F65" s="10"/>
      <c r="G65" s="10"/>
      <c r="H65" s="10"/>
      <c r="I65" s="10"/>
      <c r="J65" s="10"/>
      <c r="K65" s="10"/>
    </row>
  </sheetData>
  <mergeCells>
    <mergeCell ref="A1:K1"/>
    <mergeCell ref="A2:B3"/>
    <mergeCell ref="A4:B5"/>
    <mergeCell ref="A6:B7"/>
    <mergeCell ref="A8:B9"/>
    <mergeCell ref="E2:F3"/>
    <mergeCell ref="E4:F5"/>
    <mergeCell ref="E6:F7"/>
    <mergeCell ref="E8:F9"/>
    <mergeCell ref="H2:H3"/>
    <mergeCell ref="H4:H5"/>
    <mergeCell ref="H6:H7"/>
    <mergeCell ref="H8:H9"/>
    <mergeCell ref="C2:D3"/>
    <mergeCell ref="C4:D5"/>
    <mergeCell ref="C6:D7"/>
    <mergeCell ref="C8:D9"/>
    <mergeCell ref="G2:G3"/>
    <mergeCell ref="G4:G5"/>
    <mergeCell ref="G6:G7"/>
    <mergeCell ref="G8:G9"/>
    <mergeCell ref="I2:K3"/>
    <mergeCell ref="I4:K5"/>
    <mergeCell ref="I6:K7"/>
    <mergeCell ref="I8:K9"/>
    <mergeCell ref="C10:D10"/>
    <mergeCell ref="C11:D11"/>
    <mergeCell ref="H10:J10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62:D62"/>
    <mergeCell ref="H63:I63"/>
    <mergeCell ref="A65:K65"/>
  </mergeCells>
  <pageMargins left="0.393999993801117" top="0.591000020503998" right="0.393999993801117" bottom="0.591000020503998" header="0" footer="0"/>
  <pageSetup orientation="landscape" fitToHeight="0" fitToWidth="1" cellComments="none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267FE34967BE34AA1C2910CD8452E2D" ma:contentTypeVersion="15" ma:contentTypeDescription="Vytvoří nový dokument" ma:contentTypeScope="" ma:versionID="19544547465c62a1384639bfb8523264">
  <xsd:schema xmlns:xsd="http://www.w3.org/2001/XMLSchema" xmlns:xs="http://www.w3.org/2001/XMLSchema" xmlns:p="http://schemas.microsoft.com/office/2006/metadata/properties" xmlns:ns2="42aeb5e0-4d8c-495b-8ac8-9c7e0f9108af" xmlns:ns3="1c1cfe40-64e6-48a4-a923-d8a21d9bc96d" targetNamespace="http://schemas.microsoft.com/office/2006/metadata/properties" ma:root="true" ma:fieldsID="ec50c24212fe8b47600ee8a5c952b3e6" ns2:_="" ns3:_="">
    <xsd:import namespace="42aeb5e0-4d8c-495b-8ac8-9c7e0f9108af"/>
    <xsd:import namespace="1c1cfe40-64e6-48a4-a923-d8a21d9bc96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aeb5e0-4d8c-495b-8ac8-9c7e0f9108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5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5144c32-5194-445f-8fa8-b47f4d440b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1cfe40-64e6-48a4-a923-d8a21d9bc96d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71ba7402-a552-47a9-ad5f-5f8c4461a637}" ma:internalName="TaxCatchAll" ma:showField="CatchAllData" ma:web="1c1cfe40-64e6-48a4-a923-d8a21d9bc96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2ED74EA-CDC9-4AF7-8B6C-108A3939230B}"/>
</file>

<file path=customXml/itemProps2.xml><?xml version="1.0" encoding="utf-8"?>
<ds:datastoreItem xmlns:ds="http://schemas.openxmlformats.org/officeDocument/2006/customXml" ds:itemID="{C1BF0FD8-1ECC-49D4-BF7F-A27F02CB7691}"/>
</file>

<file path=docProps/core.xml><?xml version="1.0" encoding="utf-8"?>
<cp:coreProperties xmlns:xsi="http://www.w3.org/2001/XMLSchema-instance" xmlns:dcmitype="http://purl.org/dc/dcmitype/" xmlns:dcterms="http://purl.org/dc/terms/" xmlns:dc="http://purl.org/dc/elements/1.1/" xmlns:cp="http://schemas.openxmlformats.org/package/2006/metadata/core-properties">
  <dc:creator>HP</dc:creator>
  <cp:lastModifiedBy>HP</cp:lastModifiedBy>
  <dcterms:created xsi:type="dcterms:W3CDTF">2021-06-10T20:06:38.031Z</dcterms:created>
  <dcterms:modified xsi:type="dcterms:W3CDTF">2021-06-10T20:06:38.351Z</dcterms:modified>
</cp:coreProperties>
</file>